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0" windowWidth="10260" windowHeight="8130" firstSheet="1" activeTab="1"/>
  </bookViews>
  <sheets>
    <sheet name="ÕIGUSAKTID" sheetId="24" r:id="rId1"/>
    <sheet name="1 KOONDEELARVE" sheetId="22" r:id="rId2"/>
    <sheet name="2 TULUDE KOOND" sheetId="23" r:id="rId3"/>
    <sheet name="2.1 LK TULUD" sheetId="7" r:id="rId4"/>
    <sheet name="Sheet2" sheetId="15" state="hidden" r:id="rId5"/>
    <sheet name="2.2 OMATULUD" sheetId="4" r:id="rId6"/>
    <sheet name="2.3 TOETUSED" sheetId="12" r:id="rId7"/>
    <sheet name="3 KULUD" sheetId="16" r:id="rId8"/>
    <sheet name="4 INVEST" sheetId="18" r:id="rId9"/>
    <sheet name="5 FIN.TEH" sheetId="19" r:id="rId10"/>
    <sheet name="6 RAHAKÄIVE" sheetId="20" r:id="rId11"/>
    <sheet name="7 LIIGENDUS" sheetId="21" r:id="rId12"/>
  </sheets>
  <externalReferences>
    <externalReference r:id="rId13"/>
  </externalReferences>
  <definedNames>
    <definedName name="_xlnm._FilterDatabase" localSheetId="1" hidden="1">'1 KOONDEELARVE'!$A$6:$A$48</definedName>
    <definedName name="_xlnm._FilterDatabase" localSheetId="5" hidden="1">'2.2 OMATULUD'!$A$5:$B$776</definedName>
    <definedName name="_xlnm._FilterDatabase" localSheetId="6" hidden="1">'2.3 TOETUSED'!$A$4:$B$90</definedName>
    <definedName name="_xlnm._FilterDatabase" localSheetId="7" hidden="1">'3 KULUD'!$A$3:$E$1540</definedName>
    <definedName name="_xlnm._FilterDatabase" localSheetId="8" hidden="1">'4 INVEST'!$A$7:$G$296</definedName>
    <definedName name="OLE_LINK1" localSheetId="7">'3 KULUD'!#REF!</definedName>
    <definedName name="_xlnm.Print_Titles" localSheetId="2">'2 TULUDE KOOND'!$3:$3</definedName>
    <definedName name="_xlnm.Print_Titles" localSheetId="8">'4 INVEST'!$4:$4</definedName>
  </definedNames>
  <calcPr calcId="145621"/>
</workbook>
</file>

<file path=xl/calcChain.xml><?xml version="1.0" encoding="utf-8"?>
<calcChain xmlns="http://schemas.openxmlformats.org/spreadsheetml/2006/main">
  <c r="J50" i="23" l="1"/>
  <c r="J49" i="23"/>
  <c r="J48" i="23"/>
  <c r="J47" i="23"/>
  <c r="J46" i="23"/>
  <c r="J45" i="23"/>
  <c r="J43" i="23"/>
  <c r="J42" i="23"/>
  <c r="J41" i="23"/>
  <c r="J40" i="23"/>
  <c r="J39" i="23"/>
  <c r="J38" i="23"/>
  <c r="J36" i="23"/>
  <c r="J35" i="23"/>
  <c r="J34" i="23"/>
  <c r="J33" i="23"/>
  <c r="J32" i="23"/>
  <c r="J31" i="23"/>
  <c r="J30" i="23"/>
  <c r="J28" i="23"/>
  <c r="J27" i="23"/>
  <c r="J26" i="23"/>
  <c r="K26" i="23" s="1"/>
  <c r="J25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0" i="23"/>
  <c r="J9" i="23"/>
  <c r="J8" i="23"/>
  <c r="J6" i="23"/>
  <c r="I46" i="23"/>
  <c r="H46" i="23"/>
  <c r="H37" i="23"/>
  <c r="J37" i="23" s="1"/>
  <c r="H32" i="23"/>
  <c r="H29" i="23"/>
  <c r="J29" i="23" s="1"/>
  <c r="I24" i="23"/>
  <c r="I44" i="23" s="1"/>
  <c r="I51" i="23" s="1"/>
  <c r="H24" i="23"/>
  <c r="J24" i="23" s="1"/>
  <c r="I18" i="23"/>
  <c r="H18" i="23"/>
  <c r="H11" i="23"/>
  <c r="J11" i="23" s="1"/>
  <c r="H7" i="23"/>
  <c r="H5" i="23" s="1"/>
  <c r="H44" i="23" l="1"/>
  <c r="J5" i="23"/>
  <c r="J7" i="23"/>
  <c r="E81" i="7"/>
  <c r="E80" i="7"/>
  <c r="E78" i="7"/>
  <c r="E77" i="7"/>
  <c r="E76" i="7"/>
  <c r="E75" i="7"/>
  <c r="E73" i="7"/>
  <c r="E72" i="7"/>
  <c r="E70" i="7"/>
  <c r="E67" i="7"/>
  <c r="E66" i="7"/>
  <c r="E65" i="7"/>
  <c r="E64" i="7"/>
  <c r="E63" i="7"/>
  <c r="E62" i="7"/>
  <c r="E59" i="7"/>
  <c r="E58" i="7"/>
  <c r="E55" i="7"/>
  <c r="E53" i="7"/>
  <c r="E52" i="7"/>
  <c r="E51" i="7"/>
  <c r="E50" i="7"/>
  <c r="E48" i="7"/>
  <c r="E46" i="7"/>
  <c r="E44" i="7"/>
  <c r="E43" i="7"/>
  <c r="E40" i="7"/>
  <c r="E39" i="7"/>
  <c r="E38" i="7"/>
  <c r="E37" i="7"/>
  <c r="E36" i="7"/>
  <c r="E35" i="7"/>
  <c r="E33" i="7"/>
  <c r="E31" i="7"/>
  <c r="E30" i="7"/>
  <c r="E28" i="7"/>
  <c r="E25" i="7"/>
  <c r="E24" i="7"/>
  <c r="E23" i="7"/>
  <c r="E22" i="7"/>
  <c r="E20" i="7"/>
  <c r="E19" i="7"/>
  <c r="E17" i="7"/>
  <c r="E16" i="7"/>
  <c r="E14" i="7"/>
  <c r="E10" i="7"/>
  <c r="E9" i="7"/>
  <c r="E7" i="7"/>
  <c r="E6" i="7"/>
  <c r="D74" i="7"/>
  <c r="E74" i="7" s="1"/>
  <c r="D71" i="7"/>
  <c r="D68" i="7" s="1"/>
  <c r="D61" i="7"/>
  <c r="D60" i="7"/>
  <c r="D57" i="7"/>
  <c r="D56" i="7" s="1"/>
  <c r="D49" i="7"/>
  <c r="E49" i="7" s="1"/>
  <c r="D47" i="7"/>
  <c r="D45" i="7" s="1"/>
  <c r="D42" i="7"/>
  <c r="D29" i="7"/>
  <c r="D27" i="7"/>
  <c r="D21" i="7"/>
  <c r="D18" i="7"/>
  <c r="D15" i="7"/>
  <c r="D13" i="7"/>
  <c r="D12" i="7"/>
  <c r="D5" i="7"/>
  <c r="D4" i="7" s="1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C16" i="15"/>
  <c r="D16" i="15"/>
  <c r="E16" i="15"/>
  <c r="C17" i="15"/>
  <c r="D17" i="15"/>
  <c r="E17" i="15"/>
  <c r="C18" i="15"/>
  <c r="D18" i="15"/>
  <c r="E18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3" i="15"/>
  <c r="E813" i="4"/>
  <c r="D812" i="4"/>
  <c r="C812" i="4"/>
  <c r="B812" i="4"/>
  <c r="E812" i="4" s="1"/>
  <c r="E811" i="4"/>
  <c r="E810" i="4"/>
  <c r="E809" i="4"/>
  <c r="E808" i="4"/>
  <c r="D807" i="4"/>
  <c r="C807" i="4"/>
  <c r="B807" i="4"/>
  <c r="E807" i="4" s="1"/>
  <c r="D806" i="4"/>
  <c r="C806" i="4"/>
  <c r="E805" i="4"/>
  <c r="E804" i="4"/>
  <c r="E803" i="4"/>
  <c r="E802" i="4"/>
  <c r="C802" i="4"/>
  <c r="C800" i="4" s="1"/>
  <c r="C799" i="4" s="1"/>
  <c r="C801" i="4"/>
  <c r="B801" i="4"/>
  <c r="E801" i="4" s="1"/>
  <c r="D800" i="4"/>
  <c r="B800" i="4"/>
  <c r="E800" i="4" s="1"/>
  <c r="D799" i="4"/>
  <c r="E798" i="4"/>
  <c r="E797" i="4"/>
  <c r="D796" i="4"/>
  <c r="E796" i="4" s="1"/>
  <c r="E795" i="4"/>
  <c r="E794" i="4"/>
  <c r="D793" i="4"/>
  <c r="D792" i="4" s="1"/>
  <c r="C793" i="4"/>
  <c r="B793" i="4"/>
  <c r="C792" i="4"/>
  <c r="B792" i="4"/>
  <c r="E792" i="4" s="1"/>
  <c r="E791" i="4"/>
  <c r="E790" i="4"/>
  <c r="E789" i="4"/>
  <c r="D788" i="4"/>
  <c r="C788" i="4"/>
  <c r="B788" i="4"/>
  <c r="D787" i="4"/>
  <c r="C787" i="4"/>
  <c r="B787" i="4"/>
  <c r="E786" i="4"/>
  <c r="E785" i="4"/>
  <c r="E784" i="4"/>
  <c r="D783" i="4"/>
  <c r="C783" i="4"/>
  <c r="B783" i="4"/>
  <c r="E783" i="4" s="1"/>
  <c r="E782" i="4"/>
  <c r="E781" i="4"/>
  <c r="E780" i="4"/>
  <c r="E779" i="4"/>
  <c r="D779" i="4"/>
  <c r="C779" i="4"/>
  <c r="B779" i="4"/>
  <c r="E778" i="4"/>
  <c r="E777" i="4"/>
  <c r="E776" i="4"/>
  <c r="D775" i="4"/>
  <c r="D771" i="4" s="1"/>
  <c r="C775" i="4"/>
  <c r="C771" i="4" s="1"/>
  <c r="B775" i="4"/>
  <c r="E775" i="4" s="1"/>
  <c r="E774" i="4"/>
  <c r="E773" i="4"/>
  <c r="D772" i="4"/>
  <c r="C772" i="4"/>
  <c r="B772" i="4"/>
  <c r="E772" i="4" s="1"/>
  <c r="E770" i="4"/>
  <c r="C769" i="4"/>
  <c r="E768" i="4"/>
  <c r="E767" i="4"/>
  <c r="E766" i="4"/>
  <c r="E765" i="4"/>
  <c r="E764" i="4"/>
  <c r="E763" i="4"/>
  <c r="E762" i="4"/>
  <c r="D762" i="4"/>
  <c r="B762" i="4"/>
  <c r="E761" i="4"/>
  <c r="E760" i="4"/>
  <c r="D759" i="4"/>
  <c r="D752" i="4" s="1"/>
  <c r="C759" i="4"/>
  <c r="B759" i="4"/>
  <c r="E758" i="4"/>
  <c r="E757" i="4"/>
  <c r="E756" i="4"/>
  <c r="E755" i="4"/>
  <c r="E754" i="4"/>
  <c r="D753" i="4"/>
  <c r="C753" i="4"/>
  <c r="B753" i="4"/>
  <c r="E753" i="4" s="1"/>
  <c r="C752" i="4"/>
  <c r="E751" i="4"/>
  <c r="E750" i="4"/>
  <c r="E749" i="4"/>
  <c r="D748" i="4"/>
  <c r="C748" i="4"/>
  <c r="B748" i="4"/>
  <c r="E748" i="4" s="1"/>
  <c r="E747" i="4"/>
  <c r="D746" i="4"/>
  <c r="C746" i="4"/>
  <c r="B746" i="4"/>
  <c r="E745" i="4"/>
  <c r="E744" i="4"/>
  <c r="E743" i="4"/>
  <c r="D743" i="4"/>
  <c r="D740" i="4" s="1"/>
  <c r="C743" i="4"/>
  <c r="B743" i="4"/>
  <c r="E742" i="4"/>
  <c r="D741" i="4"/>
  <c r="C741" i="4"/>
  <c r="B741" i="4"/>
  <c r="E741" i="4" s="1"/>
  <c r="B740" i="4"/>
  <c r="E739" i="4"/>
  <c r="E736" i="4"/>
  <c r="E735" i="4"/>
  <c r="E734" i="4"/>
  <c r="D734" i="4"/>
  <c r="D726" i="4" s="1"/>
  <c r="C734" i="4"/>
  <c r="B734" i="4"/>
  <c r="E733" i="4"/>
  <c r="E732" i="4"/>
  <c r="D731" i="4"/>
  <c r="C731" i="4"/>
  <c r="C726" i="4" s="1"/>
  <c r="B731" i="4"/>
  <c r="E730" i="4"/>
  <c r="E729" i="4"/>
  <c r="E728" i="4"/>
  <c r="D727" i="4"/>
  <c r="C727" i="4"/>
  <c r="B727" i="4"/>
  <c r="E727" i="4" s="1"/>
  <c r="B726" i="4"/>
  <c r="E726" i="4" s="1"/>
  <c r="E725" i="4"/>
  <c r="E724" i="4"/>
  <c r="E723" i="4"/>
  <c r="E722" i="4"/>
  <c r="E721" i="4"/>
  <c r="D720" i="4"/>
  <c r="C720" i="4"/>
  <c r="C715" i="4" s="1"/>
  <c r="B720" i="4"/>
  <c r="E720" i="4" s="1"/>
  <c r="E719" i="4"/>
  <c r="E718" i="4"/>
  <c r="E717" i="4"/>
  <c r="D716" i="4"/>
  <c r="C716" i="4"/>
  <c r="B716" i="4"/>
  <c r="E716" i="4" s="1"/>
  <c r="D715" i="4"/>
  <c r="B715" i="4"/>
  <c r="E715" i="4" s="1"/>
  <c r="E714" i="4"/>
  <c r="E713" i="4"/>
  <c r="E712" i="4"/>
  <c r="E711" i="4"/>
  <c r="D711" i="4"/>
  <c r="C711" i="4"/>
  <c r="B711" i="4"/>
  <c r="E710" i="4"/>
  <c r="E709" i="4"/>
  <c r="E708" i="4"/>
  <c r="E707" i="4"/>
  <c r="E706" i="4"/>
  <c r="D706" i="4"/>
  <c r="C706" i="4"/>
  <c r="B706" i="4"/>
  <c r="E705" i="4"/>
  <c r="D705" i="4"/>
  <c r="C705" i="4"/>
  <c r="B705" i="4"/>
  <c r="E704" i="4"/>
  <c r="E703" i="4"/>
  <c r="E702" i="4"/>
  <c r="B702" i="4"/>
  <c r="E701" i="4"/>
  <c r="E700" i="4"/>
  <c r="D699" i="4"/>
  <c r="C699" i="4"/>
  <c r="B699" i="4"/>
  <c r="E699" i="4" s="1"/>
  <c r="E698" i="4"/>
  <c r="B698" i="4"/>
  <c r="E697" i="4"/>
  <c r="D697" i="4"/>
  <c r="C697" i="4"/>
  <c r="B697" i="4"/>
  <c r="E696" i="4"/>
  <c r="E695" i="4"/>
  <c r="E694" i="4"/>
  <c r="D693" i="4"/>
  <c r="D684" i="4" s="1"/>
  <c r="D682" i="4" s="1"/>
  <c r="C693" i="4"/>
  <c r="B693" i="4"/>
  <c r="E693" i="4" s="1"/>
  <c r="E692" i="4"/>
  <c r="E691" i="4"/>
  <c r="D690" i="4"/>
  <c r="C690" i="4"/>
  <c r="B690" i="4"/>
  <c r="E689" i="4"/>
  <c r="D688" i="4"/>
  <c r="C688" i="4"/>
  <c r="B688" i="4"/>
  <c r="E687" i="4"/>
  <c r="E686" i="4"/>
  <c r="E685" i="4"/>
  <c r="D685" i="4"/>
  <c r="C685" i="4"/>
  <c r="B685" i="4"/>
  <c r="E683" i="4"/>
  <c r="E681" i="4"/>
  <c r="E680" i="4"/>
  <c r="E679" i="4"/>
  <c r="E678" i="4"/>
  <c r="E677" i="4"/>
  <c r="E676" i="4"/>
  <c r="E675" i="4"/>
  <c r="E674" i="4"/>
  <c r="D674" i="4"/>
  <c r="C674" i="4"/>
  <c r="B674" i="4"/>
  <c r="E673" i="4"/>
  <c r="D673" i="4"/>
  <c r="C673" i="4"/>
  <c r="B673" i="4"/>
  <c r="E672" i="4"/>
  <c r="E671" i="4"/>
  <c r="E670" i="4"/>
  <c r="E669" i="4"/>
  <c r="E668" i="4"/>
  <c r="D668" i="4"/>
  <c r="D660" i="4" s="1"/>
  <c r="C668" i="4"/>
  <c r="B668" i="4"/>
  <c r="E667" i="4"/>
  <c r="D666" i="4"/>
  <c r="C666" i="4"/>
  <c r="B666" i="4"/>
  <c r="E666" i="4" s="1"/>
  <c r="E665" i="4"/>
  <c r="E664" i="4"/>
  <c r="B663" i="4"/>
  <c r="E662" i="4"/>
  <c r="D661" i="4"/>
  <c r="C661" i="4"/>
  <c r="C660" i="4"/>
  <c r="C643" i="4" s="1"/>
  <c r="E659" i="4"/>
  <c r="E658" i="4"/>
  <c r="E657" i="4"/>
  <c r="D656" i="4"/>
  <c r="C656" i="4"/>
  <c r="B656" i="4"/>
  <c r="E656" i="4" s="1"/>
  <c r="E655" i="4"/>
  <c r="E654" i="4"/>
  <c r="B654" i="4"/>
  <c r="E653" i="4"/>
  <c r="D652" i="4"/>
  <c r="C652" i="4"/>
  <c r="B652" i="4"/>
  <c r="E652" i="4" s="1"/>
  <c r="E651" i="4"/>
  <c r="E650" i="4"/>
  <c r="D649" i="4"/>
  <c r="D645" i="4" s="1"/>
  <c r="D643" i="4" s="1"/>
  <c r="C649" i="4"/>
  <c r="C645" i="4" s="1"/>
  <c r="B649" i="4"/>
  <c r="E648" i="4"/>
  <c r="E647" i="4"/>
  <c r="D646" i="4"/>
  <c r="C646" i="4"/>
  <c r="B646" i="4"/>
  <c r="E646" i="4" s="1"/>
  <c r="B645" i="4"/>
  <c r="E644" i="4"/>
  <c r="E642" i="4"/>
  <c r="E641" i="4"/>
  <c r="E640" i="4"/>
  <c r="E639" i="4"/>
  <c r="E638" i="4"/>
  <c r="E637" i="4"/>
  <c r="E636" i="4"/>
  <c r="E635" i="4"/>
  <c r="E634" i="4"/>
  <c r="D633" i="4"/>
  <c r="D632" i="4" s="1"/>
  <c r="C633" i="4"/>
  <c r="C632" i="4"/>
  <c r="E631" i="4"/>
  <c r="E630" i="4"/>
  <c r="E629" i="4"/>
  <c r="E628" i="4"/>
  <c r="D628" i="4"/>
  <c r="D624" i="4" s="1"/>
  <c r="C628" i="4"/>
  <c r="B628" i="4"/>
  <c r="E627" i="4"/>
  <c r="E626" i="4"/>
  <c r="D625" i="4"/>
  <c r="C625" i="4"/>
  <c r="B625" i="4"/>
  <c r="E625" i="4" s="1"/>
  <c r="C624" i="4"/>
  <c r="B624" i="4"/>
  <c r="E624" i="4" s="1"/>
  <c r="E623" i="4"/>
  <c r="B622" i="4"/>
  <c r="E621" i="4"/>
  <c r="E620" i="4"/>
  <c r="B620" i="4"/>
  <c r="D619" i="4"/>
  <c r="C619" i="4"/>
  <c r="D618" i="4"/>
  <c r="C618" i="4"/>
  <c r="E617" i="4"/>
  <c r="E616" i="4"/>
  <c r="E615" i="4"/>
  <c r="E614" i="4"/>
  <c r="E613" i="4"/>
  <c r="D613" i="4"/>
  <c r="C613" i="4"/>
  <c r="B613" i="4"/>
  <c r="E612" i="4"/>
  <c r="D612" i="4"/>
  <c r="C612" i="4"/>
  <c r="B612" i="4"/>
  <c r="E611" i="4"/>
  <c r="E610" i="4"/>
  <c r="E609" i="4"/>
  <c r="D608" i="4"/>
  <c r="C608" i="4"/>
  <c r="B608" i="4"/>
  <c r="E607" i="4"/>
  <c r="E606" i="4"/>
  <c r="E605" i="4"/>
  <c r="E604" i="4"/>
  <c r="D603" i="4"/>
  <c r="D602" i="4" s="1"/>
  <c r="C603" i="4"/>
  <c r="B603" i="4"/>
  <c r="E603" i="4" s="1"/>
  <c r="C602" i="4"/>
  <c r="B602" i="4"/>
  <c r="E601" i="4"/>
  <c r="E600" i="4"/>
  <c r="E599" i="4"/>
  <c r="D598" i="4"/>
  <c r="C598" i="4"/>
  <c r="C595" i="4" s="1"/>
  <c r="B598" i="4"/>
  <c r="E597" i="4"/>
  <c r="D596" i="4"/>
  <c r="D595" i="4" s="1"/>
  <c r="C596" i="4"/>
  <c r="B596" i="4"/>
  <c r="E594" i="4"/>
  <c r="E593" i="4"/>
  <c r="D592" i="4"/>
  <c r="C592" i="4"/>
  <c r="B592" i="4"/>
  <c r="E592" i="4" s="1"/>
  <c r="E591" i="4"/>
  <c r="E590" i="4"/>
  <c r="E589" i="4"/>
  <c r="E588" i="4"/>
  <c r="D588" i="4"/>
  <c r="C588" i="4"/>
  <c r="B588" i="4"/>
  <c r="E587" i="4"/>
  <c r="E586" i="4"/>
  <c r="D585" i="4"/>
  <c r="C585" i="4"/>
  <c r="C581" i="4" s="1"/>
  <c r="B585" i="4"/>
  <c r="E585" i="4" s="1"/>
  <c r="E584" i="4"/>
  <c r="E583" i="4"/>
  <c r="E582" i="4"/>
  <c r="D582" i="4"/>
  <c r="C582" i="4"/>
  <c r="B582" i="4"/>
  <c r="D581" i="4"/>
  <c r="E580" i="4"/>
  <c r="E578" i="4"/>
  <c r="E577" i="4"/>
  <c r="E576" i="4"/>
  <c r="E575" i="4"/>
  <c r="E574" i="4"/>
  <c r="D574" i="4"/>
  <c r="E573" i="4"/>
  <c r="E572" i="4"/>
  <c r="E571" i="4"/>
  <c r="D570" i="4"/>
  <c r="B570" i="4"/>
  <c r="D569" i="4"/>
  <c r="E568" i="4"/>
  <c r="E567" i="4"/>
  <c r="E566" i="4"/>
  <c r="D565" i="4"/>
  <c r="B565" i="4"/>
  <c r="E565" i="4" s="1"/>
  <c r="E564" i="4"/>
  <c r="E563" i="4"/>
  <c r="E562" i="4"/>
  <c r="D562" i="4"/>
  <c r="D555" i="4" s="1"/>
  <c r="D553" i="4" s="1"/>
  <c r="B562" i="4"/>
  <c r="E561" i="4"/>
  <c r="E560" i="4"/>
  <c r="E559" i="4"/>
  <c r="D559" i="4"/>
  <c r="B559" i="4"/>
  <c r="E558" i="4"/>
  <c r="E557" i="4"/>
  <c r="D556" i="4"/>
  <c r="B556" i="4"/>
  <c r="E554" i="4"/>
  <c r="E552" i="4"/>
  <c r="E551" i="4"/>
  <c r="E550" i="4"/>
  <c r="E549" i="4"/>
  <c r="E548" i="4"/>
  <c r="D547" i="4"/>
  <c r="D540" i="4" s="1"/>
  <c r="C547" i="4"/>
  <c r="B547" i="4"/>
  <c r="E546" i="4"/>
  <c r="E545" i="4"/>
  <c r="E544" i="4"/>
  <c r="E543" i="4"/>
  <c r="E542" i="4"/>
  <c r="D541" i="4"/>
  <c r="C541" i="4"/>
  <c r="C540" i="4" s="1"/>
  <c r="B541" i="4"/>
  <c r="E539" i="4"/>
  <c r="E538" i="4"/>
  <c r="E537" i="4"/>
  <c r="D536" i="4"/>
  <c r="C536" i="4"/>
  <c r="B536" i="4"/>
  <c r="E535" i="4"/>
  <c r="E534" i="4"/>
  <c r="D533" i="4"/>
  <c r="D532" i="4" s="1"/>
  <c r="C533" i="4"/>
  <c r="B533" i="4"/>
  <c r="C532" i="4"/>
  <c r="E531" i="4"/>
  <c r="E530" i="4"/>
  <c r="E529" i="4"/>
  <c r="E528" i="4"/>
  <c r="E527" i="4"/>
  <c r="E526" i="4"/>
  <c r="D525" i="4"/>
  <c r="C525" i="4"/>
  <c r="B525" i="4"/>
  <c r="D524" i="4"/>
  <c r="C524" i="4"/>
  <c r="E523" i="4"/>
  <c r="E522" i="4"/>
  <c r="E521" i="4"/>
  <c r="E520" i="4"/>
  <c r="D520" i="4"/>
  <c r="C520" i="4"/>
  <c r="B520" i="4"/>
  <c r="E519" i="4"/>
  <c r="E518" i="4"/>
  <c r="D517" i="4"/>
  <c r="C517" i="4"/>
  <c r="C509" i="4" s="1"/>
  <c r="B517" i="4"/>
  <c r="E517" i="4" s="1"/>
  <c r="E516" i="4"/>
  <c r="E515" i="4"/>
  <c r="E514" i="4"/>
  <c r="D513" i="4"/>
  <c r="C513" i="4"/>
  <c r="B513" i="4"/>
  <c r="E512" i="4"/>
  <c r="E511" i="4"/>
  <c r="D510" i="4"/>
  <c r="D509" i="4" s="1"/>
  <c r="D507" i="4" s="1"/>
  <c r="C510" i="4"/>
  <c r="B510" i="4"/>
  <c r="E508" i="4"/>
  <c r="E506" i="4"/>
  <c r="E505" i="4"/>
  <c r="E504" i="4"/>
  <c r="E503" i="4"/>
  <c r="E502" i="4"/>
  <c r="E501" i="4"/>
  <c r="D500" i="4"/>
  <c r="B500" i="4"/>
  <c r="D499" i="4"/>
  <c r="E498" i="4"/>
  <c r="E497" i="4"/>
  <c r="D496" i="4"/>
  <c r="B496" i="4"/>
  <c r="E496" i="4" s="1"/>
  <c r="E495" i="4"/>
  <c r="E494" i="4"/>
  <c r="D493" i="4"/>
  <c r="D492" i="4" s="1"/>
  <c r="B493" i="4"/>
  <c r="E493" i="4" s="1"/>
  <c r="B492" i="4"/>
  <c r="E492" i="4" s="1"/>
  <c r="E491" i="4"/>
  <c r="E490" i="4"/>
  <c r="E489" i="4"/>
  <c r="E488" i="4"/>
  <c r="D488" i="4"/>
  <c r="B488" i="4"/>
  <c r="E487" i="4"/>
  <c r="E486" i="4"/>
  <c r="E485" i="4"/>
  <c r="D485" i="4"/>
  <c r="B485" i="4"/>
  <c r="E484" i="4"/>
  <c r="E483" i="4"/>
  <c r="D482" i="4"/>
  <c r="B482" i="4"/>
  <c r="E482" i="4" s="1"/>
  <c r="E481" i="4"/>
  <c r="E480" i="4"/>
  <c r="D479" i="4"/>
  <c r="D478" i="4" s="1"/>
  <c r="D476" i="4" s="1"/>
  <c r="B479" i="4"/>
  <c r="E479" i="4" s="1"/>
  <c r="B478" i="4"/>
  <c r="E478" i="4" s="1"/>
  <c r="E477" i="4"/>
  <c r="E475" i="4"/>
  <c r="E474" i="4"/>
  <c r="B473" i="4"/>
  <c r="E472" i="4"/>
  <c r="E471" i="4"/>
  <c r="B471" i="4"/>
  <c r="E469" i="4"/>
  <c r="B468" i="4"/>
  <c r="D467" i="4"/>
  <c r="D466" i="4"/>
  <c r="E465" i="4"/>
  <c r="E464" i="4"/>
  <c r="B464" i="4"/>
  <c r="B462" i="4" s="1"/>
  <c r="E463" i="4"/>
  <c r="D462" i="4"/>
  <c r="D457" i="4" s="1"/>
  <c r="D440" i="4" s="1"/>
  <c r="C462" i="4"/>
  <c r="C461" i="4"/>
  <c r="E461" i="4" s="1"/>
  <c r="E460" i="4"/>
  <c r="C460" i="4"/>
  <c r="B460" i="4"/>
  <c r="E459" i="4"/>
  <c r="D458" i="4"/>
  <c r="B458" i="4"/>
  <c r="E456" i="4"/>
  <c r="E455" i="4"/>
  <c r="E454" i="4"/>
  <c r="E453" i="4"/>
  <c r="B453" i="4"/>
  <c r="D452" i="4"/>
  <c r="B452" i="4"/>
  <c r="E452" i="4" s="1"/>
  <c r="E451" i="4"/>
  <c r="D450" i="4"/>
  <c r="B450" i="4"/>
  <c r="D449" i="4"/>
  <c r="E448" i="4"/>
  <c r="E447" i="4"/>
  <c r="B447" i="4"/>
  <c r="B446" i="4"/>
  <c r="E446" i="4" s="1"/>
  <c r="E445" i="4"/>
  <c r="E444" i="4"/>
  <c r="B443" i="4"/>
  <c r="E441" i="4"/>
  <c r="E439" i="4"/>
  <c r="E438" i="4"/>
  <c r="E437" i="4"/>
  <c r="B437" i="4"/>
  <c r="E436" i="4"/>
  <c r="E435" i="4"/>
  <c r="D435" i="4"/>
  <c r="B435" i="4"/>
  <c r="E434" i="4"/>
  <c r="D434" i="4"/>
  <c r="D420" i="4" s="1"/>
  <c r="B434" i="4"/>
  <c r="E433" i="4"/>
  <c r="E432" i="4"/>
  <c r="E431" i="4"/>
  <c r="B431" i="4"/>
  <c r="E430" i="4"/>
  <c r="E429" i="4"/>
  <c r="B429" i="4"/>
  <c r="E428" i="4"/>
  <c r="E427" i="4"/>
  <c r="E426" i="4"/>
  <c r="E425" i="4"/>
  <c r="B425" i="4"/>
  <c r="E424" i="4"/>
  <c r="E423" i="4"/>
  <c r="B423" i="4"/>
  <c r="B422" i="4" s="1"/>
  <c r="E421" i="4"/>
  <c r="E419" i="4"/>
  <c r="E418" i="4"/>
  <c r="D417" i="4"/>
  <c r="B417" i="4"/>
  <c r="E417" i="4" s="1"/>
  <c r="E416" i="4"/>
  <c r="C415" i="4"/>
  <c r="B415" i="4"/>
  <c r="E414" i="4"/>
  <c r="E413" i="4"/>
  <c r="E412" i="4"/>
  <c r="D411" i="4"/>
  <c r="E411" i="4" s="1"/>
  <c r="C411" i="4"/>
  <c r="B411" i="4"/>
  <c r="D410" i="4"/>
  <c r="C410" i="4"/>
  <c r="E409" i="4"/>
  <c r="E408" i="4"/>
  <c r="E407" i="4"/>
  <c r="B407" i="4"/>
  <c r="E406" i="4"/>
  <c r="D405" i="4"/>
  <c r="C405" i="4"/>
  <c r="B405" i="4"/>
  <c r="E404" i="4"/>
  <c r="E403" i="4"/>
  <c r="D402" i="4"/>
  <c r="D401" i="4" s="1"/>
  <c r="D393" i="4" s="1"/>
  <c r="C402" i="4"/>
  <c r="C401" i="4" s="1"/>
  <c r="B402" i="4"/>
  <c r="E400" i="4"/>
  <c r="E399" i="4"/>
  <c r="E398" i="4"/>
  <c r="E397" i="4"/>
  <c r="D396" i="4"/>
  <c r="D395" i="4" s="1"/>
  <c r="C396" i="4"/>
  <c r="B396" i="4"/>
  <c r="C395" i="4"/>
  <c r="C393" i="4" s="1"/>
  <c r="B395" i="4"/>
  <c r="E394" i="4"/>
  <c r="E392" i="4"/>
  <c r="E391" i="4"/>
  <c r="E390" i="4"/>
  <c r="B390" i="4"/>
  <c r="E389" i="4"/>
  <c r="E388" i="4"/>
  <c r="E387" i="4"/>
  <c r="D387" i="4"/>
  <c r="B387" i="4"/>
  <c r="E386" i="4"/>
  <c r="E385" i="4"/>
  <c r="E384" i="4"/>
  <c r="E383" i="4"/>
  <c r="D382" i="4"/>
  <c r="E382" i="4" s="1"/>
  <c r="C382" i="4"/>
  <c r="B382" i="4"/>
  <c r="D381" i="4"/>
  <c r="E381" i="4" s="1"/>
  <c r="C381" i="4"/>
  <c r="B381" i="4"/>
  <c r="E380" i="4"/>
  <c r="E379" i="4"/>
  <c r="E378" i="4"/>
  <c r="D377" i="4"/>
  <c r="C377" i="4"/>
  <c r="C374" i="4" s="1"/>
  <c r="B377" i="4"/>
  <c r="E376" i="4"/>
  <c r="D375" i="4"/>
  <c r="E375" i="4" s="1"/>
  <c r="C375" i="4"/>
  <c r="B375" i="4"/>
  <c r="D374" i="4"/>
  <c r="B374" i="4"/>
  <c r="E374" i="4" s="1"/>
  <c r="E373" i="4"/>
  <c r="E372" i="4"/>
  <c r="D371" i="4"/>
  <c r="E371" i="4" s="1"/>
  <c r="E369" i="4"/>
  <c r="E368" i="4"/>
  <c r="E367" i="4"/>
  <c r="E366" i="4"/>
  <c r="D365" i="4"/>
  <c r="D364" i="4" s="1"/>
  <c r="C365" i="4"/>
  <c r="C364" i="4" s="1"/>
  <c r="B365" i="4"/>
  <c r="E363" i="4"/>
  <c r="E362" i="4"/>
  <c r="E361" i="4"/>
  <c r="E360" i="4"/>
  <c r="C360" i="4"/>
  <c r="B360" i="4"/>
  <c r="E359" i="4"/>
  <c r="E358" i="4"/>
  <c r="C358" i="4"/>
  <c r="B358" i="4"/>
  <c r="E357" i="4"/>
  <c r="E356" i="4"/>
  <c r="E355" i="4"/>
  <c r="C354" i="4"/>
  <c r="B354" i="4"/>
  <c r="E354" i="4" s="1"/>
  <c r="C353" i="4"/>
  <c r="E352" i="4"/>
  <c r="E351" i="4"/>
  <c r="E350" i="4"/>
  <c r="D350" i="4"/>
  <c r="E349" i="4"/>
  <c r="D348" i="4"/>
  <c r="C348" i="4"/>
  <c r="E348" i="4" s="1"/>
  <c r="E347" i="4"/>
  <c r="E346" i="4"/>
  <c r="D345" i="4"/>
  <c r="C345" i="4"/>
  <c r="B345" i="4"/>
  <c r="E344" i="4"/>
  <c r="E343" i="4"/>
  <c r="D342" i="4"/>
  <c r="C342" i="4"/>
  <c r="B342" i="4"/>
  <c r="E340" i="4"/>
  <c r="E339" i="4"/>
  <c r="C338" i="4"/>
  <c r="E338" i="4" s="1"/>
  <c r="E337" i="4"/>
  <c r="D336" i="4"/>
  <c r="C336" i="4"/>
  <c r="C335" i="4" s="1"/>
  <c r="B336" i="4"/>
  <c r="E336" i="4" s="1"/>
  <c r="D335" i="4"/>
  <c r="E334" i="4"/>
  <c r="E333" i="4"/>
  <c r="E332" i="4"/>
  <c r="C331" i="4"/>
  <c r="B331" i="4"/>
  <c r="E331" i="4" s="1"/>
  <c r="E330" i="4"/>
  <c r="E329" i="4"/>
  <c r="C328" i="4"/>
  <c r="C327" i="4" s="1"/>
  <c r="B328" i="4"/>
  <c r="E326" i="4"/>
  <c r="E325" i="4"/>
  <c r="E324" i="4"/>
  <c r="C323" i="4"/>
  <c r="B323" i="4"/>
  <c r="E323" i="4" s="1"/>
  <c r="E322" i="4"/>
  <c r="E321" i="4"/>
  <c r="E320" i="4"/>
  <c r="E319" i="4"/>
  <c r="C319" i="4"/>
  <c r="B319" i="4"/>
  <c r="C318" i="4"/>
  <c r="E317" i="4"/>
  <c r="E316" i="4"/>
  <c r="E315" i="4"/>
  <c r="E314" i="4"/>
  <c r="C313" i="4"/>
  <c r="B313" i="4"/>
  <c r="C312" i="4"/>
  <c r="E311" i="4"/>
  <c r="E309" i="4"/>
  <c r="E308" i="4"/>
  <c r="B308" i="4"/>
  <c r="B306" i="4" s="1"/>
  <c r="E307" i="4"/>
  <c r="B307" i="4"/>
  <c r="E306" i="4"/>
  <c r="C306" i="4"/>
  <c r="E305" i="4"/>
  <c r="E304" i="4"/>
  <c r="E303" i="4"/>
  <c r="B303" i="4"/>
  <c r="C302" i="4"/>
  <c r="B302" i="4"/>
  <c r="E302" i="4" s="1"/>
  <c r="E301" i="4"/>
  <c r="B301" i="4"/>
  <c r="B300" i="4"/>
  <c r="E299" i="4"/>
  <c r="B299" i="4"/>
  <c r="D298" i="4"/>
  <c r="C298" i="4"/>
  <c r="C297" i="4" s="1"/>
  <c r="D297" i="4"/>
  <c r="E296" i="4"/>
  <c r="E295" i="4"/>
  <c r="D294" i="4"/>
  <c r="C294" i="4"/>
  <c r="C289" i="4" s="1"/>
  <c r="B294" i="4"/>
  <c r="B289" i="4" s="1"/>
  <c r="E289" i="4" s="1"/>
  <c r="E293" i="4"/>
  <c r="E292" i="4"/>
  <c r="E291" i="4"/>
  <c r="E290" i="4"/>
  <c r="D290" i="4"/>
  <c r="C290" i="4"/>
  <c r="B290" i="4"/>
  <c r="D289" i="4"/>
  <c r="E288" i="4"/>
  <c r="E287" i="4"/>
  <c r="E286" i="4"/>
  <c r="D285" i="4"/>
  <c r="B285" i="4"/>
  <c r="E284" i="4"/>
  <c r="E283" i="4"/>
  <c r="E282" i="4"/>
  <c r="D282" i="4"/>
  <c r="B282" i="4"/>
  <c r="E281" i="4"/>
  <c r="E280" i="4"/>
  <c r="E279" i="4"/>
  <c r="D278" i="4"/>
  <c r="B278" i="4"/>
  <c r="E276" i="4"/>
  <c r="E275" i="4"/>
  <c r="E274" i="4"/>
  <c r="D274" i="4"/>
  <c r="C274" i="4"/>
  <c r="B274" i="4"/>
  <c r="E273" i="4"/>
  <c r="E272" i="4"/>
  <c r="C271" i="4"/>
  <c r="C266" i="4" s="1"/>
  <c r="B271" i="4"/>
  <c r="E270" i="4"/>
  <c r="E269" i="4"/>
  <c r="E268" i="4"/>
  <c r="E267" i="4"/>
  <c r="C267" i="4"/>
  <c r="B267" i="4"/>
  <c r="D266" i="4"/>
  <c r="E265" i="4"/>
  <c r="E264" i="4"/>
  <c r="B263" i="4"/>
  <c r="E263" i="4" s="1"/>
  <c r="E262" i="4"/>
  <c r="E261" i="4"/>
  <c r="B260" i="4"/>
  <c r="E260" i="4" s="1"/>
  <c r="E259" i="4"/>
  <c r="E258" i="4"/>
  <c r="B257" i="4"/>
  <c r="E257" i="4" s="1"/>
  <c r="B256" i="4"/>
  <c r="B255" i="4" s="1"/>
  <c r="E255" i="4" s="1"/>
  <c r="E254" i="4"/>
  <c r="E253" i="4"/>
  <c r="E252" i="4"/>
  <c r="D251" i="4"/>
  <c r="C251" i="4"/>
  <c r="B251" i="4"/>
  <c r="E250" i="4"/>
  <c r="E249" i="4"/>
  <c r="E248" i="4"/>
  <c r="D247" i="4"/>
  <c r="D242" i="4" s="1"/>
  <c r="C247" i="4"/>
  <c r="C242" i="4" s="1"/>
  <c r="B247" i="4"/>
  <c r="E247" i="4" s="1"/>
  <c r="E246" i="4"/>
  <c r="E245" i="4"/>
  <c r="E244" i="4"/>
  <c r="E243" i="4"/>
  <c r="D243" i="4"/>
  <c r="C243" i="4"/>
  <c r="B243" i="4"/>
  <c r="B242" i="4" s="1"/>
  <c r="E242" i="4" s="1"/>
  <c r="E241" i="4"/>
  <c r="E240" i="4"/>
  <c r="D239" i="4"/>
  <c r="C239" i="4"/>
  <c r="B239" i="4"/>
  <c r="E238" i="4"/>
  <c r="E237" i="4"/>
  <c r="E236" i="4"/>
  <c r="C236" i="4"/>
  <c r="B236" i="4"/>
  <c r="B231" i="4" s="1"/>
  <c r="E235" i="4"/>
  <c r="E234" i="4"/>
  <c r="E233" i="4"/>
  <c r="D232" i="4"/>
  <c r="C232" i="4"/>
  <c r="E232" i="4" s="1"/>
  <c r="B232" i="4"/>
  <c r="D231" i="4"/>
  <c r="E230" i="4"/>
  <c r="E229" i="4"/>
  <c r="E228" i="4"/>
  <c r="D228" i="4"/>
  <c r="B228" i="4"/>
  <c r="E227" i="4"/>
  <c r="E226" i="4"/>
  <c r="E225" i="4"/>
  <c r="D224" i="4"/>
  <c r="D223" i="4" s="1"/>
  <c r="B224" i="4"/>
  <c r="B223" i="4"/>
  <c r="E223" i="4" s="1"/>
  <c r="E222" i="4"/>
  <c r="E220" i="4"/>
  <c r="E219" i="4"/>
  <c r="E218" i="4"/>
  <c r="E217" i="4"/>
  <c r="B217" i="4"/>
  <c r="E216" i="4"/>
  <c r="E215" i="4"/>
  <c r="E214" i="4"/>
  <c r="E213" i="4"/>
  <c r="C212" i="4"/>
  <c r="C211" i="4" s="1"/>
  <c r="B212" i="4"/>
  <c r="E212" i="4" s="1"/>
  <c r="E210" i="4"/>
  <c r="E209" i="4"/>
  <c r="B208" i="4"/>
  <c r="E208" i="4" s="1"/>
  <c r="E207" i="4"/>
  <c r="E206" i="4"/>
  <c r="E205" i="4"/>
  <c r="E204" i="4"/>
  <c r="D203" i="4"/>
  <c r="C203" i="4"/>
  <c r="B203" i="4"/>
  <c r="E203" i="4" s="1"/>
  <c r="D202" i="4"/>
  <c r="C202" i="4"/>
  <c r="B202" i="4"/>
  <c r="E202" i="4" s="1"/>
  <c r="E201" i="4"/>
  <c r="B200" i="4"/>
  <c r="E200" i="4" s="1"/>
  <c r="B199" i="4"/>
  <c r="E199" i="4" s="1"/>
  <c r="E198" i="4"/>
  <c r="D197" i="4"/>
  <c r="B197" i="4"/>
  <c r="E196" i="4"/>
  <c r="E195" i="4"/>
  <c r="E194" i="4"/>
  <c r="E193" i="4"/>
  <c r="B193" i="4"/>
  <c r="D192" i="4"/>
  <c r="B192" i="4"/>
  <c r="E192" i="4" s="1"/>
  <c r="E190" i="4"/>
  <c r="E189" i="4"/>
  <c r="D188" i="4"/>
  <c r="D178" i="4" s="1"/>
  <c r="C188" i="4"/>
  <c r="B188" i="4"/>
  <c r="E187" i="4"/>
  <c r="E186" i="4"/>
  <c r="E185" i="4"/>
  <c r="C184" i="4"/>
  <c r="B184" i="4"/>
  <c r="E184" i="4" s="1"/>
  <c r="E183" i="4"/>
  <c r="E182" i="4"/>
  <c r="E181" i="4"/>
  <c r="B180" i="4"/>
  <c r="E180" i="4" s="1"/>
  <c r="D179" i="4"/>
  <c r="C179" i="4"/>
  <c r="C178" i="4"/>
  <c r="E177" i="4"/>
  <c r="E176" i="4"/>
  <c r="E175" i="4"/>
  <c r="E174" i="4"/>
  <c r="D173" i="4"/>
  <c r="B173" i="4"/>
  <c r="E173" i="4" s="1"/>
  <c r="E172" i="4"/>
  <c r="E171" i="4"/>
  <c r="D170" i="4"/>
  <c r="B170" i="4"/>
  <c r="B169" i="4"/>
  <c r="E169" i="4" s="1"/>
  <c r="D168" i="4"/>
  <c r="D162" i="4" s="1"/>
  <c r="E167" i="4"/>
  <c r="E166" i="4"/>
  <c r="B166" i="4"/>
  <c r="B163" i="4" s="1"/>
  <c r="E165" i="4"/>
  <c r="B164" i="4"/>
  <c r="E164" i="4" s="1"/>
  <c r="D163" i="4"/>
  <c r="C163" i="4"/>
  <c r="C162" i="4"/>
  <c r="E161" i="4"/>
  <c r="B160" i="4"/>
  <c r="E160" i="4" s="1"/>
  <c r="C159" i="4"/>
  <c r="E158" i="4"/>
  <c r="E157" i="4"/>
  <c r="E156" i="4"/>
  <c r="B156" i="4"/>
  <c r="E155" i="4"/>
  <c r="E154" i="4"/>
  <c r="E153" i="4"/>
  <c r="E152" i="4"/>
  <c r="E151" i="4"/>
  <c r="E150" i="4"/>
  <c r="C150" i="4"/>
  <c r="C149" i="4" s="1"/>
  <c r="B150" i="4"/>
  <c r="E148" i="4"/>
  <c r="E147" i="4"/>
  <c r="E146" i="4"/>
  <c r="E145" i="4"/>
  <c r="B144" i="4"/>
  <c r="E144" i="4" s="1"/>
  <c r="E143" i="4"/>
  <c r="B143" i="4"/>
  <c r="E142" i="4"/>
  <c r="E141" i="4"/>
  <c r="E140" i="4"/>
  <c r="C140" i="4"/>
  <c r="C134" i="4" s="1"/>
  <c r="B140" i="4"/>
  <c r="E139" i="4"/>
  <c r="E138" i="4"/>
  <c r="E137" i="4"/>
  <c r="B136" i="4"/>
  <c r="E136" i="4" s="1"/>
  <c r="D135" i="4"/>
  <c r="E135" i="4" s="1"/>
  <c r="C135" i="4"/>
  <c r="B135" i="4"/>
  <c r="D134" i="4"/>
  <c r="E134" i="4" s="1"/>
  <c r="B134" i="4"/>
  <c r="E133" i="4"/>
  <c r="E132" i="4"/>
  <c r="E131" i="4"/>
  <c r="D130" i="4"/>
  <c r="D124" i="4" s="1"/>
  <c r="C130" i="4"/>
  <c r="B130" i="4"/>
  <c r="E129" i="4"/>
  <c r="E128" i="4"/>
  <c r="E127" i="4"/>
  <c r="C127" i="4"/>
  <c r="B127" i="4"/>
  <c r="E126" i="4"/>
  <c r="E125" i="4"/>
  <c r="D125" i="4"/>
  <c r="C125" i="4"/>
  <c r="B125" i="4"/>
  <c r="B124" i="4"/>
  <c r="E123" i="4"/>
  <c r="E121" i="4"/>
  <c r="E120" i="4"/>
  <c r="E119" i="4"/>
  <c r="E118" i="4"/>
  <c r="D118" i="4"/>
  <c r="C118" i="4"/>
  <c r="B118" i="4"/>
  <c r="E117" i="4"/>
  <c r="B117" i="4"/>
  <c r="E116" i="4"/>
  <c r="B115" i="4"/>
  <c r="E115" i="4" s="1"/>
  <c r="D114" i="4"/>
  <c r="C114" i="4"/>
  <c r="C113" i="4" s="1"/>
  <c r="D113" i="4"/>
  <c r="E112" i="4"/>
  <c r="E111" i="4"/>
  <c r="E110" i="4"/>
  <c r="D109" i="4"/>
  <c r="C109" i="4"/>
  <c r="E109" i="4" s="1"/>
  <c r="B109" i="4"/>
  <c r="E108" i="4"/>
  <c r="E107" i="4"/>
  <c r="E106" i="4"/>
  <c r="E105" i="4"/>
  <c r="E104" i="4"/>
  <c r="E103" i="4"/>
  <c r="E102" i="4"/>
  <c r="D102" i="4"/>
  <c r="C102" i="4"/>
  <c r="B102" i="4"/>
  <c r="E101" i="4"/>
  <c r="D100" i="4"/>
  <c r="E100" i="4" s="1"/>
  <c r="C99" i="4"/>
  <c r="C95" i="4" s="1"/>
  <c r="B99" i="4"/>
  <c r="E98" i="4"/>
  <c r="E97" i="4"/>
  <c r="E96" i="4"/>
  <c r="D96" i="4"/>
  <c r="C96" i="4"/>
  <c r="B96" i="4"/>
  <c r="B95" i="4"/>
  <c r="E94" i="4"/>
  <c r="E93" i="4"/>
  <c r="C92" i="4"/>
  <c r="B92" i="4"/>
  <c r="E92" i="4" s="1"/>
  <c r="E91" i="4"/>
  <c r="C90" i="4"/>
  <c r="C89" i="4" s="1"/>
  <c r="B90" i="4"/>
  <c r="B89" i="4" s="1"/>
  <c r="E89" i="4" s="1"/>
  <c r="E88" i="4"/>
  <c r="E87" i="4"/>
  <c r="C86" i="4"/>
  <c r="C81" i="4" s="1"/>
  <c r="B86" i="4"/>
  <c r="E85" i="4"/>
  <c r="E84" i="4"/>
  <c r="E83" i="4"/>
  <c r="D82" i="4"/>
  <c r="C82" i="4"/>
  <c r="B82" i="4"/>
  <c r="B81" i="4" s="1"/>
  <c r="E81" i="4" s="1"/>
  <c r="D81" i="4"/>
  <c r="E80" i="4"/>
  <c r="E79" i="4"/>
  <c r="B78" i="4"/>
  <c r="E78" i="4" s="1"/>
  <c r="E77" i="4"/>
  <c r="E76" i="4"/>
  <c r="E75" i="4"/>
  <c r="E74" i="4"/>
  <c r="D74" i="4"/>
  <c r="C74" i="4"/>
  <c r="C62" i="4" s="1"/>
  <c r="B74" i="4"/>
  <c r="E73" i="4"/>
  <c r="D73" i="4"/>
  <c r="E72" i="4"/>
  <c r="E71" i="4"/>
  <c r="E70" i="4"/>
  <c r="D69" i="4"/>
  <c r="E69" i="4" s="1"/>
  <c r="D68" i="4"/>
  <c r="B68" i="4"/>
  <c r="E68" i="4" s="1"/>
  <c r="E67" i="4"/>
  <c r="B67" i="4"/>
  <c r="E66" i="4"/>
  <c r="E65" i="4"/>
  <c r="B65" i="4"/>
  <c r="B64" i="4"/>
  <c r="E64" i="4" s="1"/>
  <c r="D63" i="4"/>
  <c r="D62" i="4" s="1"/>
  <c r="C63" i="4"/>
  <c r="E61" i="4"/>
  <c r="E60" i="4"/>
  <c r="C59" i="4"/>
  <c r="E59" i="4" s="1"/>
  <c r="E58" i="4"/>
  <c r="D57" i="4"/>
  <c r="B57" i="4"/>
  <c r="B55" i="4" s="1"/>
  <c r="E56" i="4"/>
  <c r="D55" i="4"/>
  <c r="C55" i="4"/>
  <c r="D54" i="4"/>
  <c r="C54" i="4"/>
  <c r="C48" i="4" s="1"/>
  <c r="C47" i="4" s="1"/>
  <c r="E53" i="4"/>
  <c r="E52" i="4"/>
  <c r="E51" i="4"/>
  <c r="E50" i="4"/>
  <c r="B50" i="4"/>
  <c r="E49" i="4"/>
  <c r="D48" i="4"/>
  <c r="B48" i="4"/>
  <c r="E48" i="4" s="1"/>
  <c r="D47" i="4"/>
  <c r="E46" i="4"/>
  <c r="E45" i="4"/>
  <c r="C44" i="4"/>
  <c r="E44" i="4" s="1"/>
  <c r="B44" i="4"/>
  <c r="E43" i="4"/>
  <c r="E42" i="4"/>
  <c r="C41" i="4"/>
  <c r="B41" i="4"/>
  <c r="E41" i="4" s="1"/>
  <c r="E40" i="4"/>
  <c r="C39" i="4"/>
  <c r="B39" i="4"/>
  <c r="E39" i="4" s="1"/>
  <c r="E38" i="4"/>
  <c r="C37" i="4"/>
  <c r="B37" i="4"/>
  <c r="B34" i="4" s="1"/>
  <c r="E36" i="4"/>
  <c r="D35" i="4"/>
  <c r="C35" i="4"/>
  <c r="E35" i="4" s="1"/>
  <c r="B35" i="4"/>
  <c r="D34" i="4"/>
  <c r="E33" i="4"/>
  <c r="E31" i="4"/>
  <c r="E30" i="4"/>
  <c r="E29" i="4"/>
  <c r="E28" i="4"/>
  <c r="B28" i="4"/>
  <c r="E27" i="4"/>
  <c r="B26" i="4"/>
  <c r="E26" i="4" s="1"/>
  <c r="B25" i="4"/>
  <c r="E25" i="4" s="1"/>
  <c r="E24" i="4"/>
  <c r="E23" i="4"/>
  <c r="E22" i="4"/>
  <c r="E21" i="4"/>
  <c r="B21" i="4"/>
  <c r="E20" i="4"/>
  <c r="B19" i="4"/>
  <c r="B18" i="4" s="1"/>
  <c r="E18" i="4" s="1"/>
  <c r="E17" i="4"/>
  <c r="E16" i="4"/>
  <c r="E15" i="4"/>
  <c r="E14" i="4"/>
  <c r="B14" i="4"/>
  <c r="E13" i="4"/>
  <c r="E12" i="4"/>
  <c r="C11" i="4"/>
  <c r="B11" i="4"/>
  <c r="E11" i="4" s="1"/>
  <c r="C10" i="4"/>
  <c r="E9" i="4"/>
  <c r="E8" i="4"/>
  <c r="E7" i="4"/>
  <c r="C6" i="4"/>
  <c r="C5" i="4" s="1"/>
  <c r="B6" i="4"/>
  <c r="E6" i="4" s="1"/>
  <c r="B5" i="4"/>
  <c r="E5" i="4" s="1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C6" i="12"/>
  <c r="C4" i="12" s="1"/>
  <c r="C25" i="12"/>
  <c r="C23" i="12" s="1"/>
  <c r="C22" i="12" s="1"/>
  <c r="C30" i="12"/>
  <c r="C38" i="12"/>
  <c r="C41" i="12"/>
  <c r="C45" i="12"/>
  <c r="C49" i="12"/>
  <c r="C57" i="12"/>
  <c r="C62" i="12"/>
  <c r="C69" i="12"/>
  <c r="D13" i="12"/>
  <c r="D12" i="12" s="1"/>
  <c r="D14" i="12"/>
  <c r="D23" i="12"/>
  <c r="D22" i="12" s="1"/>
  <c r="D99" i="12" s="1"/>
  <c r="D30" i="12"/>
  <c r="D45" i="12"/>
  <c r="D49" i="12"/>
  <c r="D57" i="12"/>
  <c r="D62" i="12"/>
  <c r="C73" i="12"/>
  <c r="H51" i="23" l="1"/>
  <c r="J51" i="23" s="1"/>
  <c r="J44" i="23"/>
  <c r="D26" i="7"/>
  <c r="E47" i="7"/>
  <c r="D11" i="7"/>
  <c r="D82" i="7" s="1"/>
  <c r="D41" i="7"/>
  <c r="D32" i="7" s="1"/>
  <c r="E2" i="15"/>
  <c r="E19" i="15" s="1"/>
  <c r="E20" i="15" s="1"/>
  <c r="D2" i="15"/>
  <c r="D19" i="15" s="1"/>
  <c r="D20" i="15" s="1"/>
  <c r="C2" i="15"/>
  <c r="C19" i="15" s="1"/>
  <c r="C20" i="15" s="1"/>
  <c r="E55" i="4"/>
  <c r="B47" i="4"/>
  <c r="E47" i="4" s="1"/>
  <c r="E163" i="4"/>
  <c r="D32" i="4"/>
  <c r="E278" i="4"/>
  <c r="B277" i="4"/>
  <c r="E277" i="4" s="1"/>
  <c r="E313" i="4"/>
  <c r="B312" i="4"/>
  <c r="E342" i="4"/>
  <c r="B341" i="4"/>
  <c r="E556" i="4"/>
  <c r="B555" i="4"/>
  <c r="E570" i="4"/>
  <c r="B569" i="4"/>
  <c r="E569" i="4" s="1"/>
  <c r="B10" i="4"/>
  <c r="E10" i="4" s="1"/>
  <c r="E19" i="4"/>
  <c r="E82" i="4"/>
  <c r="E86" i="4"/>
  <c r="D99" i="4"/>
  <c r="D95" i="4" s="1"/>
  <c r="E95" i="4" s="1"/>
  <c r="B114" i="4"/>
  <c r="D122" i="4"/>
  <c r="E170" i="4"/>
  <c r="B179" i="4"/>
  <c r="D191" i="4"/>
  <c r="B211" i="4"/>
  <c r="E211" i="4" s="1"/>
  <c r="E224" i="4"/>
  <c r="E239" i="4"/>
  <c r="E251" i="4"/>
  <c r="E271" i="4"/>
  <c r="B266" i="4"/>
  <c r="E266" i="4" s="1"/>
  <c r="C341" i="4"/>
  <c r="C310" i="4" s="1"/>
  <c r="E365" i="4"/>
  <c r="B364" i="4"/>
  <c r="E364" i="4" s="1"/>
  <c r="E536" i="4"/>
  <c r="B532" i="4"/>
  <c r="E532" i="4" s="1"/>
  <c r="E645" i="4"/>
  <c r="B661" i="4"/>
  <c r="E663" i="4"/>
  <c r="C34" i="4"/>
  <c r="C32" i="4" s="1"/>
  <c r="B298" i="4"/>
  <c r="E300" i="4"/>
  <c r="E37" i="4"/>
  <c r="E54" i="4"/>
  <c r="E57" i="4"/>
  <c r="B63" i="4"/>
  <c r="D221" i="4"/>
  <c r="E285" i="4"/>
  <c r="E462" i="4"/>
  <c r="B457" i="4"/>
  <c r="B470" i="4"/>
  <c r="E470" i="4" s="1"/>
  <c r="E473" i="4"/>
  <c r="E525" i="4"/>
  <c r="B524" i="4"/>
  <c r="E524" i="4" s="1"/>
  <c r="E130" i="4"/>
  <c r="C124" i="4"/>
  <c r="E90" i="4"/>
  <c r="E99" i="4"/>
  <c r="E188" i="4"/>
  <c r="B191" i="4"/>
  <c r="E197" i="4"/>
  <c r="C231" i="4"/>
  <c r="C221" i="4" s="1"/>
  <c r="E231" i="4"/>
  <c r="E256" i="4"/>
  <c r="E294" i="4"/>
  <c r="E328" i="4"/>
  <c r="B327" i="4"/>
  <c r="E327" i="4" s="1"/>
  <c r="D341" i="4"/>
  <c r="E345" i="4"/>
  <c r="B401" i="4"/>
  <c r="E401" i="4" s="1"/>
  <c r="E405" i="4"/>
  <c r="D579" i="4"/>
  <c r="E602" i="4"/>
  <c r="C684" i="4"/>
  <c r="C682" i="4" s="1"/>
  <c r="B318" i="4"/>
  <c r="E318" i="4" s="1"/>
  <c r="B335" i="4"/>
  <c r="E335" i="4" s="1"/>
  <c r="E396" i="4"/>
  <c r="C458" i="4"/>
  <c r="C457" i="4" s="1"/>
  <c r="C440" i="4" s="1"/>
  <c r="E468" i="4"/>
  <c r="B467" i="4"/>
  <c r="E510" i="4"/>
  <c r="C507" i="4"/>
  <c r="C579" i="4"/>
  <c r="E622" i="4"/>
  <c r="B619" i="4"/>
  <c r="E632" i="4"/>
  <c r="E649" i="4"/>
  <c r="C740" i="4"/>
  <c r="C738" i="4" s="1"/>
  <c r="E759" i="4"/>
  <c r="B752" i="4"/>
  <c r="E752" i="4" s="1"/>
  <c r="B771" i="4"/>
  <c r="D769" i="4"/>
  <c r="E788" i="4"/>
  <c r="B806" i="4"/>
  <c r="E806" i="4" s="1"/>
  <c r="B159" i="4"/>
  <c r="B168" i="4"/>
  <c r="E168" i="4" s="1"/>
  <c r="B353" i="4"/>
  <c r="E353" i="4" s="1"/>
  <c r="D370" i="4"/>
  <c r="E370" i="4" s="1"/>
  <c r="E377" i="4"/>
  <c r="E395" i="4"/>
  <c r="E402" i="4"/>
  <c r="E415" i="4"/>
  <c r="B410" i="4"/>
  <c r="E410" i="4" s="1"/>
  <c r="E422" i="4"/>
  <c r="B420" i="4"/>
  <c r="E420" i="4" s="1"/>
  <c r="B442" i="4"/>
  <c r="E443" i="4"/>
  <c r="E450" i="4"/>
  <c r="B449" i="4"/>
  <c r="E449" i="4" s="1"/>
  <c r="E500" i="4"/>
  <c r="B499" i="4"/>
  <c r="E499" i="4" s="1"/>
  <c r="E513" i="4"/>
  <c r="B509" i="4"/>
  <c r="E533" i="4"/>
  <c r="E541" i="4"/>
  <c r="E547" i="4"/>
  <c r="B540" i="4"/>
  <c r="E540" i="4" s="1"/>
  <c r="E596" i="4"/>
  <c r="E598" i="4"/>
  <c r="E608" i="4"/>
  <c r="E633" i="4"/>
  <c r="E688" i="4"/>
  <c r="E690" i="4"/>
  <c r="B684" i="4"/>
  <c r="E731" i="4"/>
  <c r="D738" i="4"/>
  <c r="E746" i="4"/>
  <c r="E787" i="4"/>
  <c r="E793" i="4"/>
  <c r="B799" i="4"/>
  <c r="E799" i="4" s="1"/>
  <c r="B393" i="4"/>
  <c r="E393" i="4" s="1"/>
  <c r="B581" i="4"/>
  <c r="B595" i="4"/>
  <c r="E595" i="4" s="1"/>
  <c r="E467" i="4" l="1"/>
  <c r="B466" i="4"/>
  <c r="E466" i="4" s="1"/>
  <c r="E159" i="4"/>
  <c r="B149" i="4"/>
  <c r="E509" i="4"/>
  <c r="B507" i="4"/>
  <c r="E507" i="4" s="1"/>
  <c r="E442" i="4"/>
  <c r="B738" i="4"/>
  <c r="E738" i="4" s="1"/>
  <c r="B62" i="4"/>
  <c r="E62" i="4" s="1"/>
  <c r="E63" i="4"/>
  <c r="B660" i="4"/>
  <c r="E661" i="4"/>
  <c r="E179" i="4"/>
  <c r="B178" i="4"/>
  <c r="E178" i="4" s="1"/>
  <c r="E581" i="4"/>
  <c r="B682" i="4"/>
  <c r="E682" i="4" s="1"/>
  <c r="E684" i="4"/>
  <c r="B618" i="4"/>
  <c r="E618" i="4" s="1"/>
  <c r="E619" i="4"/>
  <c r="E458" i="4"/>
  <c r="E740" i="4"/>
  <c r="E191" i="4"/>
  <c r="E124" i="4"/>
  <c r="C122" i="4"/>
  <c r="C815" i="4" s="1"/>
  <c r="B297" i="4"/>
  <c r="E297" i="4" s="1"/>
  <c r="E298" i="4"/>
  <c r="B221" i="4"/>
  <c r="E221" i="4" s="1"/>
  <c r="E341" i="4"/>
  <c r="E34" i="4"/>
  <c r="E771" i="4"/>
  <c r="B769" i="4"/>
  <c r="E769" i="4" s="1"/>
  <c r="E114" i="4"/>
  <c r="B113" i="4"/>
  <c r="E113" i="4" s="1"/>
  <c r="E555" i="4"/>
  <c r="B553" i="4"/>
  <c r="E553" i="4" s="1"/>
  <c r="E312" i="4"/>
  <c r="B310" i="4"/>
  <c r="D310" i="4"/>
  <c r="D815" i="4" s="1"/>
  <c r="B476" i="4"/>
  <c r="E476" i="4" s="1"/>
  <c r="E457" i="4"/>
  <c r="B162" i="4"/>
  <c r="E162" i="4" s="1"/>
  <c r="B32" i="4" l="1"/>
  <c r="E310" i="4"/>
  <c r="B579" i="4"/>
  <c r="E579" i="4" s="1"/>
  <c r="E660" i="4"/>
  <c r="B643" i="4"/>
  <c r="E643" i="4" s="1"/>
  <c r="B440" i="4"/>
  <c r="E440" i="4" s="1"/>
  <c r="E149" i="4"/>
  <c r="B122" i="4"/>
  <c r="E122" i="4" s="1"/>
  <c r="E32" i="4" l="1"/>
  <c r="B815" i="4"/>
  <c r="E815" i="4" s="1"/>
  <c r="E1530" i="16" l="1"/>
  <c r="E1529" i="16"/>
  <c r="E1528" i="16"/>
  <c r="E1527" i="16"/>
  <c r="E1526" i="16"/>
  <c r="E1525" i="16"/>
  <c r="E1524" i="16"/>
  <c r="E1523" i="16"/>
  <c r="E1522" i="16"/>
  <c r="E1521" i="16"/>
  <c r="E1520" i="16"/>
  <c r="E1519" i="16"/>
  <c r="E1518" i="16"/>
  <c r="E1517" i="16"/>
  <c r="E1516" i="16"/>
  <c r="E1515" i="16"/>
  <c r="E1514" i="16"/>
  <c r="E1513" i="16"/>
  <c r="E1512" i="16"/>
  <c r="E1511" i="16"/>
  <c r="E1510" i="16"/>
  <c r="E1509" i="16"/>
  <c r="E1508" i="16"/>
  <c r="E1507" i="16"/>
  <c r="E1506" i="16"/>
  <c r="E1505" i="16"/>
  <c r="E1504" i="16"/>
  <c r="E1503" i="16"/>
  <c r="E1502" i="16"/>
  <c r="E1501" i="16"/>
  <c r="E1500" i="16"/>
  <c r="E1499" i="16"/>
  <c r="E1498" i="16"/>
  <c r="E1497" i="16"/>
  <c r="E1496" i="16"/>
  <c r="E1495" i="16"/>
  <c r="E1494" i="16"/>
  <c r="E1493" i="16"/>
  <c r="E1492" i="16"/>
  <c r="E1491" i="16"/>
  <c r="E1490" i="16"/>
  <c r="E1489" i="16"/>
  <c r="E1488" i="16"/>
  <c r="E1487" i="16"/>
  <c r="E1486" i="16"/>
  <c r="E1485" i="16"/>
  <c r="E1484" i="16"/>
  <c r="E1483" i="16"/>
  <c r="E1482" i="16"/>
  <c r="E1481" i="16"/>
  <c r="E1480" i="16"/>
  <c r="E1479" i="16"/>
  <c r="E1478" i="16"/>
  <c r="E1477" i="16"/>
  <c r="E1476" i="16"/>
  <c r="E1475" i="16"/>
  <c r="E1474" i="16"/>
  <c r="E1473" i="16"/>
  <c r="E1472" i="16"/>
  <c r="E1471" i="16"/>
  <c r="E1470" i="16"/>
  <c r="E1469" i="16"/>
  <c r="E1468" i="16"/>
  <c r="E1467" i="16"/>
  <c r="E1466" i="16"/>
  <c r="E1465" i="16"/>
  <c r="E1464" i="16"/>
  <c r="E1463" i="16"/>
  <c r="E1462" i="16"/>
  <c r="E1461" i="16"/>
  <c r="E1460" i="16"/>
  <c r="E1459" i="16"/>
  <c r="E1458" i="16"/>
  <c r="E1457" i="16"/>
  <c r="E1456" i="16"/>
  <c r="E1455" i="16"/>
  <c r="E1454" i="16"/>
  <c r="E1453" i="16"/>
  <c r="E1452" i="16"/>
  <c r="E1451" i="16"/>
  <c r="E1450" i="16"/>
  <c r="E1449" i="16"/>
  <c r="E1448" i="16"/>
  <c r="E1447" i="16"/>
  <c r="E1446" i="16"/>
  <c r="E1445" i="16"/>
  <c r="E1444" i="16"/>
  <c r="E1443" i="16"/>
  <c r="E1442" i="16"/>
  <c r="E1441" i="16"/>
  <c r="E1440" i="16"/>
  <c r="E1439" i="16"/>
  <c r="E1438" i="16"/>
  <c r="E1437" i="16"/>
  <c r="E1436" i="16"/>
  <c r="E1435" i="16"/>
  <c r="E1434" i="16"/>
  <c r="E1433" i="16"/>
  <c r="E1432" i="16"/>
  <c r="E1431" i="16"/>
  <c r="E1430" i="16"/>
  <c r="E1429" i="16"/>
  <c r="E1428" i="16"/>
  <c r="E1427" i="16"/>
  <c r="E1426" i="16"/>
  <c r="E1425" i="16"/>
  <c r="E1424" i="16"/>
  <c r="E1423" i="16"/>
  <c r="E1422" i="16"/>
  <c r="E1421" i="16"/>
  <c r="E1420" i="16"/>
  <c r="E1419" i="16"/>
  <c r="E1418" i="16"/>
  <c r="E1417" i="16"/>
  <c r="E1416" i="16"/>
  <c r="E1415" i="16"/>
  <c r="E1414" i="16"/>
  <c r="E1413" i="16"/>
  <c r="E1412" i="16"/>
  <c r="E1411" i="16"/>
  <c r="E1410" i="16"/>
  <c r="E1409" i="16"/>
  <c r="E1408" i="16"/>
  <c r="E1407" i="16"/>
  <c r="E1406" i="16"/>
  <c r="E1405" i="16"/>
  <c r="E1404" i="16"/>
  <c r="E1403" i="16"/>
  <c r="E1402" i="16"/>
  <c r="E1401" i="16"/>
  <c r="E1400" i="16"/>
  <c r="E1399" i="16"/>
  <c r="E1398" i="16"/>
  <c r="E1397" i="16"/>
  <c r="E1396" i="16"/>
  <c r="E1395" i="16"/>
  <c r="E1394" i="16"/>
  <c r="E1393" i="16"/>
  <c r="E1392" i="16"/>
  <c r="E1391" i="16"/>
  <c r="E1390" i="16"/>
  <c r="E1389" i="16"/>
  <c r="E1388" i="16"/>
  <c r="E1387" i="16"/>
  <c r="E1386" i="16"/>
  <c r="E1385" i="16"/>
  <c r="E1384" i="16"/>
  <c r="E1383" i="16"/>
  <c r="E1382" i="16"/>
  <c r="E1381" i="16"/>
  <c r="E1380" i="16"/>
  <c r="E1379" i="16"/>
  <c r="E1378" i="16"/>
  <c r="E1377" i="16"/>
  <c r="E1376" i="16"/>
  <c r="E1375" i="16"/>
  <c r="E1374" i="16"/>
  <c r="E1373" i="16"/>
  <c r="E1372" i="16"/>
  <c r="E1371" i="16"/>
  <c r="E1370" i="16"/>
  <c r="E1369" i="16"/>
  <c r="E1368" i="16"/>
  <c r="E1367" i="16"/>
  <c r="E1366" i="16"/>
  <c r="E1365" i="16"/>
  <c r="E1364" i="16"/>
  <c r="E1363" i="16"/>
  <c r="E1362" i="16"/>
  <c r="E1361" i="16"/>
  <c r="E1360" i="16"/>
  <c r="E1359" i="16"/>
  <c r="E1358" i="16"/>
  <c r="E1357" i="16"/>
  <c r="E1356" i="16"/>
  <c r="E1355" i="16"/>
  <c r="E1354" i="16"/>
  <c r="E1353" i="16"/>
  <c r="E1352" i="16"/>
  <c r="E1351" i="16"/>
  <c r="E1350" i="16"/>
  <c r="E1349" i="16"/>
  <c r="E1348" i="16"/>
  <c r="E1347" i="16"/>
  <c r="E1346" i="16"/>
  <c r="E1345" i="16"/>
  <c r="E1344" i="16"/>
  <c r="E1343" i="16"/>
  <c r="E1342" i="16"/>
  <c r="E1341" i="16"/>
  <c r="E1340" i="16"/>
  <c r="E1339" i="16"/>
  <c r="E1338" i="16"/>
  <c r="E1337" i="16"/>
  <c r="E1336" i="16"/>
  <c r="E1335" i="16"/>
  <c r="E1334" i="16"/>
  <c r="E1333" i="16"/>
  <c r="E1332" i="16"/>
  <c r="E1331" i="16"/>
  <c r="E1330" i="16"/>
  <c r="E1329" i="16"/>
  <c r="E1328" i="16"/>
  <c r="E1327" i="16"/>
  <c r="E1326" i="16"/>
  <c r="E1325" i="16"/>
  <c r="E1324" i="16"/>
  <c r="E1323" i="16"/>
  <c r="E1322" i="16"/>
  <c r="E1321" i="16"/>
  <c r="E1320" i="16"/>
  <c r="E1319" i="16"/>
  <c r="E1318" i="16"/>
  <c r="E1317" i="16"/>
  <c r="E1316" i="16"/>
  <c r="E1315" i="16"/>
  <c r="E1314" i="16"/>
  <c r="E1313" i="16"/>
  <c r="E1312" i="16"/>
  <c r="E1311" i="16"/>
  <c r="E1310" i="16"/>
  <c r="E1309" i="16"/>
  <c r="E1308" i="16"/>
  <c r="E1307" i="16"/>
  <c r="E1306" i="16"/>
  <c r="E1305" i="16"/>
  <c r="E1304" i="16"/>
  <c r="E1303" i="16"/>
  <c r="E1302" i="16"/>
  <c r="E1301" i="16"/>
  <c r="E1300" i="16"/>
  <c r="E1299" i="16"/>
  <c r="E1298" i="16"/>
  <c r="E1297" i="16"/>
  <c r="E1296" i="16"/>
  <c r="E1295" i="16"/>
  <c r="E1294" i="16"/>
  <c r="E1293" i="16"/>
  <c r="E1292" i="16"/>
  <c r="E1291" i="16"/>
  <c r="E1290" i="16"/>
  <c r="E1289" i="16"/>
  <c r="E1288" i="16"/>
  <c r="E1287" i="16"/>
  <c r="E1286" i="16"/>
  <c r="E1285" i="16"/>
  <c r="E1284" i="16"/>
  <c r="E1283" i="16"/>
  <c r="E1282" i="16"/>
  <c r="E1281" i="16"/>
  <c r="E1280" i="16"/>
  <c r="E1279" i="16"/>
  <c r="E1278" i="16"/>
  <c r="E1277" i="16"/>
  <c r="E1276" i="16"/>
  <c r="E1275" i="16"/>
  <c r="E1274" i="16"/>
  <c r="E1273" i="16"/>
  <c r="E1272" i="16"/>
  <c r="E1271" i="16"/>
  <c r="E1270" i="16"/>
  <c r="E1269" i="16"/>
  <c r="E1268" i="16"/>
  <c r="E1267" i="16"/>
  <c r="E1266" i="16"/>
  <c r="E1265" i="16"/>
  <c r="E1264" i="16"/>
  <c r="E1263" i="16"/>
  <c r="E1262" i="16"/>
  <c r="E1261" i="16"/>
  <c r="E1260" i="16"/>
  <c r="E1259" i="16"/>
  <c r="E1258" i="16"/>
  <c r="E1257" i="16"/>
  <c r="E1256" i="16"/>
  <c r="E1255" i="16"/>
  <c r="E1254" i="16"/>
  <c r="E1253" i="16"/>
  <c r="E1252" i="16"/>
  <c r="E1251" i="16"/>
  <c r="E1250" i="16"/>
  <c r="E1249" i="16"/>
  <c r="E1248" i="16"/>
  <c r="E1247" i="16"/>
  <c r="E1246" i="16"/>
  <c r="E1245" i="16"/>
  <c r="E1244" i="16"/>
  <c r="E1243" i="16"/>
  <c r="E1242" i="16"/>
  <c r="E1241" i="16"/>
  <c r="E1240" i="16"/>
  <c r="E1239" i="16"/>
  <c r="E1238" i="16"/>
  <c r="E1237" i="16"/>
  <c r="E1236" i="16"/>
  <c r="E1235" i="16"/>
  <c r="E1234" i="16"/>
  <c r="E1233" i="16"/>
  <c r="E1232" i="16"/>
  <c r="E1231" i="16"/>
  <c r="E1230" i="16"/>
  <c r="E1229" i="16"/>
  <c r="E1228" i="16"/>
  <c r="E1227" i="16"/>
  <c r="E1226" i="16"/>
  <c r="E1225" i="16"/>
  <c r="E1224" i="16"/>
  <c r="E1223" i="16"/>
  <c r="E1222" i="16"/>
  <c r="E1221" i="16"/>
  <c r="E1220" i="16"/>
  <c r="E1219" i="16"/>
  <c r="E1218" i="16"/>
  <c r="E1217" i="16"/>
  <c r="E1216" i="16"/>
  <c r="E1215" i="16"/>
  <c r="E1214" i="16"/>
  <c r="E1213" i="16"/>
  <c r="E1212" i="16"/>
  <c r="E1211" i="16"/>
  <c r="E1210" i="16"/>
  <c r="E1209" i="16"/>
  <c r="E1208" i="16"/>
  <c r="E1207" i="16"/>
  <c r="E1206" i="16"/>
  <c r="E1205" i="16"/>
  <c r="E1204" i="16"/>
  <c r="E1203" i="16"/>
  <c r="E1202" i="16"/>
  <c r="E1201" i="16"/>
  <c r="E1200" i="16"/>
  <c r="E1199" i="16"/>
  <c r="E1198" i="16"/>
  <c r="E1197" i="16"/>
  <c r="E1196" i="16"/>
  <c r="E1195" i="16"/>
  <c r="E1194" i="16"/>
  <c r="E1193" i="16"/>
  <c r="E1192" i="16"/>
  <c r="E1191" i="16"/>
  <c r="E1190" i="16"/>
  <c r="E1189" i="16"/>
  <c r="E1188" i="16"/>
  <c r="E1187" i="16"/>
  <c r="E1186" i="16"/>
  <c r="E1185" i="16"/>
  <c r="E1184" i="16"/>
  <c r="E1183" i="16"/>
  <c r="E1182" i="16"/>
  <c r="E1181" i="16"/>
  <c r="E1180" i="16"/>
  <c r="E1179" i="16"/>
  <c r="E1178" i="16"/>
  <c r="E1177" i="16"/>
  <c r="E1176" i="16"/>
  <c r="E1175" i="16"/>
  <c r="E1174" i="16"/>
  <c r="E1173" i="16"/>
  <c r="E1172" i="16"/>
  <c r="E1171" i="16"/>
  <c r="E1170" i="16"/>
  <c r="E1169" i="16"/>
  <c r="E1168" i="16"/>
  <c r="E1167" i="16"/>
  <c r="E1166" i="16"/>
  <c r="E1165" i="16"/>
  <c r="E1164" i="16"/>
  <c r="E1163" i="16"/>
  <c r="E1162" i="16"/>
  <c r="E1161" i="16"/>
  <c r="E1160" i="16"/>
  <c r="E1159" i="16"/>
  <c r="E1158" i="16"/>
  <c r="E1157" i="16"/>
  <c r="E1156" i="16"/>
  <c r="E1155" i="16"/>
  <c r="E1154" i="16"/>
  <c r="E1153" i="16"/>
  <c r="E1152" i="16"/>
  <c r="E1151" i="16"/>
  <c r="E1150" i="16"/>
  <c r="E1149" i="16"/>
  <c r="E1148" i="16"/>
  <c r="E1147" i="16"/>
  <c r="E1146" i="16"/>
  <c r="E1145" i="16"/>
  <c r="E1144" i="16"/>
  <c r="E1143" i="16"/>
  <c r="E1142" i="16"/>
  <c r="E1141" i="16"/>
  <c r="E1140" i="16"/>
  <c r="E1139" i="16"/>
  <c r="E1138" i="16"/>
  <c r="E1137" i="16"/>
  <c r="E1136" i="16"/>
  <c r="E1135" i="16"/>
  <c r="E1134" i="16"/>
  <c r="E1133" i="16"/>
  <c r="E1132" i="16"/>
  <c r="E1131" i="16"/>
  <c r="E1130" i="16"/>
  <c r="E1129" i="16"/>
  <c r="E1128" i="16"/>
  <c r="E1127" i="16"/>
  <c r="E1126" i="16"/>
  <c r="E1125" i="16"/>
  <c r="E1124" i="16"/>
  <c r="E1123" i="16"/>
  <c r="E1122" i="16"/>
  <c r="E1121" i="16"/>
  <c r="E1120" i="16"/>
  <c r="E1119" i="16"/>
  <c r="E1118" i="16"/>
  <c r="E1117" i="16"/>
  <c r="E1116" i="16"/>
  <c r="E1115" i="16"/>
  <c r="E1114" i="16"/>
  <c r="E1113" i="16"/>
  <c r="E1112" i="16"/>
  <c r="E1111" i="16"/>
  <c r="E1110" i="16"/>
  <c r="E1109" i="16"/>
  <c r="E1108" i="16"/>
  <c r="E1107" i="16"/>
  <c r="E1106" i="16"/>
  <c r="E1105" i="16"/>
  <c r="E1104" i="16"/>
  <c r="E1103" i="16"/>
  <c r="E1102" i="16"/>
  <c r="E1101" i="16"/>
  <c r="E1100" i="16"/>
  <c r="E1099" i="16"/>
  <c r="E1098" i="16"/>
  <c r="E1097" i="16"/>
  <c r="E1096" i="16"/>
  <c r="E1095" i="16"/>
  <c r="E1094" i="16"/>
  <c r="E1093" i="16"/>
  <c r="E1092" i="16"/>
  <c r="E1091" i="16"/>
  <c r="E1090" i="16"/>
  <c r="E1089" i="16"/>
  <c r="E1088" i="16"/>
  <c r="E1087" i="16"/>
  <c r="E1086" i="16"/>
  <c r="E1085" i="16"/>
  <c r="E1084" i="16"/>
  <c r="E1083" i="16"/>
  <c r="E1082" i="16"/>
  <c r="E1081" i="16"/>
  <c r="E1080" i="16"/>
  <c r="E1079" i="16"/>
  <c r="E1078" i="16"/>
  <c r="E1077" i="16"/>
  <c r="E1076" i="16"/>
  <c r="E1075" i="16"/>
  <c r="E1074" i="16"/>
  <c r="E1073" i="16"/>
  <c r="E1072" i="16"/>
  <c r="E1071" i="16"/>
  <c r="E1070" i="16"/>
  <c r="E1069" i="16"/>
  <c r="E1068" i="16"/>
  <c r="E1067" i="16"/>
  <c r="E1066" i="16"/>
  <c r="E1065" i="16"/>
  <c r="E1064" i="16"/>
  <c r="E1063" i="16"/>
  <c r="E1062" i="16"/>
  <c r="E1061" i="16"/>
  <c r="E1060" i="16"/>
  <c r="E1059" i="16"/>
  <c r="E1058" i="16"/>
  <c r="E1057" i="16"/>
  <c r="E1056" i="16"/>
  <c r="E1055" i="16"/>
  <c r="E1054" i="16"/>
  <c r="E1053" i="16"/>
  <c r="E1052" i="16"/>
  <c r="E1051" i="16"/>
  <c r="E1050" i="16"/>
  <c r="E1049" i="16"/>
  <c r="E1048" i="16"/>
  <c r="E1047" i="16"/>
  <c r="E1046" i="16"/>
  <c r="E1045" i="16"/>
  <c r="E1044" i="16"/>
  <c r="E1043" i="16"/>
  <c r="E1042" i="16"/>
  <c r="E1041" i="16"/>
  <c r="E1040" i="16"/>
  <c r="E1039" i="16"/>
  <c r="E1038" i="16"/>
  <c r="E1037" i="16"/>
  <c r="E1036" i="16"/>
  <c r="E1035" i="16"/>
  <c r="E1034" i="16"/>
  <c r="E1033" i="16"/>
  <c r="E1032" i="16"/>
  <c r="E1031" i="16"/>
  <c r="E1030" i="16"/>
  <c r="E1029" i="16"/>
  <c r="E1028" i="16"/>
  <c r="E1027" i="16"/>
  <c r="E1026" i="16"/>
  <c r="E1025" i="16"/>
  <c r="E1024" i="16"/>
  <c r="E1023" i="16"/>
  <c r="E1022" i="16"/>
  <c r="E1021" i="16"/>
  <c r="E1020" i="16"/>
  <c r="E1019" i="16"/>
  <c r="E1018" i="16"/>
  <c r="E1017" i="16"/>
  <c r="E1016" i="16"/>
  <c r="E1015" i="16"/>
  <c r="E1014" i="16"/>
  <c r="E1013" i="16"/>
  <c r="E1012" i="16"/>
  <c r="E1011" i="16"/>
  <c r="E1010" i="16"/>
  <c r="E1009" i="16"/>
  <c r="E1008" i="16"/>
  <c r="E1007" i="16"/>
  <c r="E1006" i="16"/>
  <c r="E1005" i="16"/>
  <c r="E1004" i="16"/>
  <c r="E1003" i="16"/>
  <c r="E1002" i="16"/>
  <c r="E1001" i="16"/>
  <c r="E1000" i="16"/>
  <c r="E999" i="16"/>
  <c r="E998" i="16"/>
  <c r="E997" i="16"/>
  <c r="E996" i="16"/>
  <c r="E995" i="16"/>
  <c r="E994" i="16"/>
  <c r="E993" i="16"/>
  <c r="E992" i="16"/>
  <c r="E991" i="16"/>
  <c r="E990" i="16"/>
  <c r="E989" i="16"/>
  <c r="E988" i="16"/>
  <c r="E987" i="16"/>
  <c r="E986" i="16"/>
  <c r="E985" i="16"/>
  <c r="E984" i="16"/>
  <c r="E983" i="16"/>
  <c r="E982" i="16"/>
  <c r="E981" i="16"/>
  <c r="E980" i="16"/>
  <c r="E979" i="16"/>
  <c r="E978" i="16"/>
  <c r="E977" i="16"/>
  <c r="E976" i="16"/>
  <c r="E975" i="16"/>
  <c r="E974" i="16"/>
  <c r="E973" i="16"/>
  <c r="E972" i="16"/>
  <c r="E971" i="16"/>
  <c r="E970" i="16"/>
  <c r="E969" i="16"/>
  <c r="E968" i="16"/>
  <c r="E967" i="16"/>
  <c r="E966" i="16"/>
  <c r="E965" i="16"/>
  <c r="E964" i="16"/>
  <c r="E963" i="16"/>
  <c r="E962" i="16"/>
  <c r="E961" i="16"/>
  <c r="E960" i="16"/>
  <c r="E959" i="16"/>
  <c r="E958" i="16"/>
  <c r="E957" i="16"/>
  <c r="E956" i="16"/>
  <c r="E955" i="16"/>
  <c r="E954" i="16"/>
  <c r="E953" i="16"/>
  <c r="E952" i="16"/>
  <c r="E951" i="16"/>
  <c r="E950" i="16"/>
  <c r="E949" i="16"/>
  <c r="E948" i="16"/>
  <c r="E947" i="16"/>
  <c r="E946" i="16"/>
  <c r="E945" i="16"/>
  <c r="E944" i="16"/>
  <c r="E943" i="16"/>
  <c r="E942" i="16"/>
  <c r="E941" i="16"/>
  <c r="E940" i="16"/>
  <c r="E939" i="16"/>
  <c r="E938" i="16"/>
  <c r="E937" i="16"/>
  <c r="E936" i="16"/>
  <c r="E935" i="16"/>
  <c r="E934" i="16"/>
  <c r="E933" i="16"/>
  <c r="E932" i="16"/>
  <c r="E931" i="16"/>
  <c r="E930" i="16"/>
  <c r="E929" i="16"/>
  <c r="E928" i="16"/>
  <c r="E927" i="16"/>
  <c r="E926" i="16"/>
  <c r="E925" i="16"/>
  <c r="E924" i="16"/>
  <c r="E923" i="16"/>
  <c r="E922" i="16"/>
  <c r="E921" i="16"/>
  <c r="E920" i="16"/>
  <c r="E919" i="16"/>
  <c r="E918" i="16"/>
  <c r="E917" i="16"/>
  <c r="E916" i="16"/>
  <c r="E915" i="16"/>
  <c r="E914" i="16"/>
  <c r="E913" i="16"/>
  <c r="E912" i="16"/>
  <c r="E911" i="16"/>
  <c r="E910" i="16"/>
  <c r="E909" i="16"/>
  <c r="E908" i="16"/>
  <c r="E907" i="16"/>
  <c r="E906" i="16"/>
  <c r="E905" i="16"/>
  <c r="E904" i="16"/>
  <c r="E903" i="16"/>
  <c r="E902" i="16"/>
  <c r="E901" i="16"/>
  <c r="E900" i="16"/>
  <c r="E899" i="16"/>
  <c r="E898" i="16"/>
  <c r="E897" i="16"/>
  <c r="E896" i="16"/>
  <c r="E895" i="16"/>
  <c r="E894" i="16"/>
  <c r="E893" i="16"/>
  <c r="E892" i="16"/>
  <c r="E891" i="16"/>
  <c r="E890" i="16"/>
  <c r="E889" i="16"/>
  <c r="E888" i="16"/>
  <c r="E887" i="16"/>
  <c r="E886" i="16"/>
  <c r="E885" i="16"/>
  <c r="E884" i="16"/>
  <c r="E883" i="16"/>
  <c r="E882" i="16"/>
  <c r="E881" i="16"/>
  <c r="E880" i="16"/>
  <c r="E879" i="16"/>
  <c r="E878" i="16"/>
  <c r="E877" i="16"/>
  <c r="E876" i="16"/>
  <c r="E875" i="16"/>
  <c r="E874" i="16"/>
  <c r="E873" i="16"/>
  <c r="E872" i="16"/>
  <c r="E871" i="16"/>
  <c r="E870" i="16"/>
  <c r="E869" i="16"/>
  <c r="E868" i="16"/>
  <c r="E867" i="16"/>
  <c r="E866" i="16"/>
  <c r="E865" i="16"/>
  <c r="E864" i="16"/>
  <c r="E863" i="16"/>
  <c r="E862" i="16"/>
  <c r="E861" i="16"/>
  <c r="E860" i="16"/>
  <c r="E859" i="16"/>
  <c r="E858" i="16"/>
  <c r="E857" i="16"/>
  <c r="E856" i="16"/>
  <c r="E855" i="16"/>
  <c r="E854" i="16"/>
  <c r="E853" i="16"/>
  <c r="E852" i="16"/>
  <c r="E851" i="16"/>
  <c r="E850" i="16"/>
  <c r="E849" i="16"/>
  <c r="E848" i="16"/>
  <c r="E847" i="16"/>
  <c r="E846" i="16"/>
  <c r="E845" i="16"/>
  <c r="E844" i="16"/>
  <c r="E843" i="16"/>
  <c r="E842" i="16"/>
  <c r="E841" i="16"/>
  <c r="E840" i="16"/>
  <c r="E839" i="16"/>
  <c r="E838" i="16"/>
  <c r="E837" i="16"/>
  <c r="E836" i="16"/>
  <c r="E835" i="16"/>
  <c r="E834" i="16"/>
  <c r="E833" i="16"/>
  <c r="E832" i="16"/>
  <c r="E831" i="16"/>
  <c r="E830" i="16"/>
  <c r="E829" i="16"/>
  <c r="E828" i="16"/>
  <c r="E827" i="16"/>
  <c r="E826" i="16"/>
  <c r="E825" i="16"/>
  <c r="E824" i="16"/>
  <c r="E823" i="16"/>
  <c r="E822" i="16"/>
  <c r="E821" i="16"/>
  <c r="E820" i="16"/>
  <c r="E819" i="16"/>
  <c r="E818" i="16"/>
  <c r="E817" i="16"/>
  <c r="E816" i="16"/>
  <c r="E815" i="16"/>
  <c r="E814" i="16"/>
  <c r="E813" i="16"/>
  <c r="E812" i="16"/>
  <c r="E811" i="16"/>
  <c r="E810" i="16"/>
  <c r="E809" i="16"/>
  <c r="E808" i="16"/>
  <c r="E807" i="16"/>
  <c r="E806" i="16"/>
  <c r="E805" i="16"/>
  <c r="E804" i="16"/>
  <c r="E803" i="16"/>
  <c r="E802" i="16"/>
  <c r="E801" i="16"/>
  <c r="E800" i="16"/>
  <c r="E799" i="16"/>
  <c r="E798" i="16"/>
  <c r="E797" i="16"/>
  <c r="E796" i="16"/>
  <c r="E795" i="16"/>
  <c r="E794" i="16"/>
  <c r="E793" i="16"/>
  <c r="E792" i="16"/>
  <c r="E791" i="16"/>
  <c r="E790" i="16"/>
  <c r="E789" i="16"/>
  <c r="E788" i="16"/>
  <c r="E787" i="16"/>
  <c r="E786" i="16"/>
  <c r="E785" i="16"/>
  <c r="E784" i="16"/>
  <c r="E783" i="16"/>
  <c r="E782" i="16"/>
  <c r="E781" i="16"/>
  <c r="E780" i="16"/>
  <c r="E779" i="16"/>
  <c r="E778" i="16"/>
  <c r="E777" i="16"/>
  <c r="E776" i="16"/>
  <c r="E775" i="16"/>
  <c r="E774" i="16"/>
  <c r="E773" i="16"/>
  <c r="E772" i="16"/>
  <c r="E771" i="16"/>
  <c r="E770" i="16"/>
  <c r="E769" i="16"/>
  <c r="E768" i="16"/>
  <c r="E767" i="16"/>
  <c r="E766" i="16"/>
  <c r="E765" i="16"/>
  <c r="E764" i="16"/>
  <c r="E763" i="16"/>
  <c r="E762" i="16"/>
  <c r="E761" i="16"/>
  <c r="E760" i="16"/>
  <c r="E759" i="16"/>
  <c r="E758" i="16"/>
  <c r="E757" i="16"/>
  <c r="E756" i="16"/>
  <c r="E755" i="16"/>
  <c r="E754" i="16"/>
  <c r="E753" i="16"/>
  <c r="E752" i="16"/>
  <c r="E751" i="16"/>
  <c r="E750" i="16"/>
  <c r="E749" i="16"/>
  <c r="E748" i="16"/>
  <c r="E747" i="16"/>
  <c r="E746" i="16"/>
  <c r="E745" i="16"/>
  <c r="E744" i="16"/>
  <c r="E743" i="16"/>
  <c r="E742" i="16"/>
  <c r="E741" i="16"/>
  <c r="E740" i="16"/>
  <c r="E739" i="16"/>
  <c r="E738" i="16"/>
  <c r="E737" i="16"/>
  <c r="E736" i="16"/>
  <c r="E735" i="16"/>
  <c r="E734" i="16"/>
  <c r="E733" i="16"/>
  <c r="E732" i="16"/>
  <c r="E731" i="16"/>
  <c r="E730" i="16"/>
  <c r="E729" i="16"/>
  <c r="E728" i="16"/>
  <c r="E727" i="16"/>
  <c r="E726" i="16"/>
  <c r="E725" i="16"/>
  <c r="E724" i="16"/>
  <c r="E723" i="16"/>
  <c r="E722" i="16"/>
  <c r="E721" i="16"/>
  <c r="E720" i="16"/>
  <c r="E719" i="16"/>
  <c r="E718" i="16"/>
  <c r="E717" i="16"/>
  <c r="E716" i="16"/>
  <c r="E715" i="16"/>
  <c r="E714" i="16"/>
  <c r="E713" i="16"/>
  <c r="E712" i="16"/>
  <c r="E711" i="16"/>
  <c r="E710" i="16"/>
  <c r="E709" i="16"/>
  <c r="E708" i="16"/>
  <c r="E707" i="16"/>
  <c r="E706" i="16"/>
  <c r="E705" i="16"/>
  <c r="E704" i="16"/>
  <c r="E703" i="16"/>
  <c r="E702" i="16"/>
  <c r="E701" i="16"/>
  <c r="E700" i="16"/>
  <c r="E699" i="16"/>
  <c r="E698" i="16"/>
  <c r="E697" i="16"/>
  <c r="E696" i="16"/>
  <c r="E695" i="16"/>
  <c r="E694" i="16"/>
  <c r="E693" i="16"/>
  <c r="E692" i="16"/>
  <c r="E691" i="16"/>
  <c r="E690" i="16"/>
  <c r="E689" i="16"/>
  <c r="E688" i="16"/>
  <c r="E687" i="16"/>
  <c r="E686" i="16"/>
  <c r="E685" i="16"/>
  <c r="E684" i="16"/>
  <c r="E683" i="16"/>
  <c r="E682" i="16"/>
  <c r="E681" i="16"/>
  <c r="E680" i="16"/>
  <c r="E679" i="16"/>
  <c r="E678" i="16"/>
  <c r="E677" i="16"/>
  <c r="E676" i="16"/>
  <c r="E675" i="16"/>
  <c r="E674" i="16"/>
  <c r="E673" i="16"/>
  <c r="E672" i="16"/>
  <c r="E671" i="16"/>
  <c r="E670" i="16"/>
  <c r="E669" i="16"/>
  <c r="E668" i="16"/>
  <c r="E667" i="16"/>
  <c r="E666" i="16"/>
  <c r="E665" i="16"/>
  <c r="E664" i="16"/>
  <c r="E663" i="16"/>
  <c r="E662" i="16"/>
  <c r="E661" i="16"/>
  <c r="E660" i="16"/>
  <c r="E659" i="16"/>
  <c r="E658" i="16"/>
  <c r="E657" i="16"/>
  <c r="E656" i="16"/>
  <c r="E655" i="16"/>
  <c r="E654" i="16"/>
  <c r="E653" i="16"/>
  <c r="E652" i="16"/>
  <c r="E651" i="16"/>
  <c r="E650" i="16"/>
  <c r="E649" i="16"/>
  <c r="E648" i="16"/>
  <c r="E647" i="16"/>
  <c r="E646" i="16"/>
  <c r="E645" i="16"/>
  <c r="E644" i="16"/>
  <c r="E643" i="16"/>
  <c r="E642" i="16"/>
  <c r="E641" i="16"/>
  <c r="E640" i="16"/>
  <c r="E639" i="16"/>
  <c r="E638" i="16"/>
  <c r="E637" i="16"/>
  <c r="E636" i="16"/>
  <c r="E635" i="16"/>
  <c r="E634" i="16"/>
  <c r="E633" i="16"/>
  <c r="E632" i="16"/>
  <c r="E631" i="16"/>
  <c r="E630" i="16"/>
  <c r="E629" i="16"/>
  <c r="E628" i="16"/>
  <c r="E627" i="16"/>
  <c r="E626" i="16"/>
  <c r="E625" i="16"/>
  <c r="E624" i="16"/>
  <c r="E623" i="16"/>
  <c r="E622" i="16"/>
  <c r="E621" i="16"/>
  <c r="E620" i="16"/>
  <c r="E619" i="16"/>
  <c r="E618" i="16"/>
  <c r="E617" i="16"/>
  <c r="E616" i="16"/>
  <c r="E615" i="16"/>
  <c r="E614" i="16"/>
  <c r="E613" i="16"/>
  <c r="E612" i="16"/>
  <c r="E611" i="16"/>
  <c r="E610" i="16"/>
  <c r="E609" i="16"/>
  <c r="E608" i="16"/>
  <c r="E607" i="16"/>
  <c r="E606" i="16"/>
  <c r="E605" i="16"/>
  <c r="E604" i="16"/>
  <c r="E603" i="16"/>
  <c r="E602" i="16"/>
  <c r="E601" i="16"/>
  <c r="E600" i="16"/>
  <c r="E599" i="16"/>
  <c r="E598" i="16"/>
  <c r="E597" i="16"/>
  <c r="E596" i="16"/>
  <c r="E595" i="16"/>
  <c r="E594" i="16"/>
  <c r="E593" i="16"/>
  <c r="E592" i="16"/>
  <c r="E591" i="16"/>
  <c r="E590" i="16"/>
  <c r="E589" i="16"/>
  <c r="E588" i="16"/>
  <c r="E587" i="16"/>
  <c r="E586" i="16"/>
  <c r="E585" i="16"/>
  <c r="E584" i="16"/>
  <c r="E583" i="16"/>
  <c r="E582" i="16"/>
  <c r="E581" i="16"/>
  <c r="E580" i="16"/>
  <c r="E579" i="16"/>
  <c r="E578" i="16"/>
  <c r="E577" i="16"/>
  <c r="E576" i="16"/>
  <c r="E575" i="16"/>
  <c r="E574" i="16"/>
  <c r="E573" i="16"/>
  <c r="E572" i="16"/>
  <c r="E571" i="16"/>
  <c r="E570" i="16"/>
  <c r="E569" i="16"/>
  <c r="E568" i="16"/>
  <c r="E567" i="16"/>
  <c r="E566" i="16"/>
  <c r="E565" i="16"/>
  <c r="E564" i="16"/>
  <c r="E563" i="16"/>
  <c r="E562" i="16"/>
  <c r="E561" i="16"/>
  <c r="E560" i="16"/>
  <c r="E559" i="16"/>
  <c r="E558" i="16"/>
  <c r="E557" i="16"/>
  <c r="E556" i="16"/>
  <c r="E555" i="16"/>
  <c r="E554" i="16"/>
  <c r="E553" i="16"/>
  <c r="E552" i="16"/>
  <c r="E551" i="16"/>
  <c r="E550" i="16"/>
  <c r="E549" i="16"/>
  <c r="E548" i="16"/>
  <c r="E547" i="16"/>
  <c r="E546" i="16"/>
  <c r="E545" i="16"/>
  <c r="E544" i="16"/>
  <c r="E543" i="16"/>
  <c r="E542" i="16"/>
  <c r="E541" i="16"/>
  <c r="E540" i="16"/>
  <c r="E539" i="16"/>
  <c r="E538" i="16"/>
  <c r="E537" i="16"/>
  <c r="E536" i="16"/>
  <c r="E535" i="16"/>
  <c r="E534" i="16"/>
  <c r="E533" i="16"/>
  <c r="E532" i="16"/>
  <c r="E531" i="16"/>
  <c r="E530" i="16"/>
  <c r="E529" i="16"/>
  <c r="E528" i="16"/>
  <c r="E527" i="16"/>
  <c r="E526" i="16"/>
  <c r="E525" i="16"/>
  <c r="E524" i="16"/>
  <c r="E523" i="16"/>
  <c r="E522" i="16"/>
  <c r="E521" i="16"/>
  <c r="E520" i="16"/>
  <c r="E519" i="16"/>
  <c r="E518" i="16"/>
  <c r="E517" i="16"/>
  <c r="E516" i="16"/>
  <c r="E515" i="16"/>
  <c r="E514" i="16"/>
  <c r="E513" i="16"/>
  <c r="E512" i="16"/>
  <c r="E511" i="16"/>
  <c r="E510" i="16"/>
  <c r="E509" i="16"/>
  <c r="E508" i="16"/>
  <c r="E507" i="16"/>
  <c r="E506" i="16"/>
  <c r="E505" i="16"/>
  <c r="E504" i="16"/>
  <c r="E503" i="16"/>
  <c r="E502" i="16"/>
  <c r="E501" i="16"/>
  <c r="E500" i="16"/>
  <c r="E499" i="16"/>
  <c r="E498" i="16"/>
  <c r="E497" i="16"/>
  <c r="E496" i="16"/>
  <c r="E495" i="16"/>
  <c r="E494" i="16"/>
  <c r="E493" i="16"/>
  <c r="E492" i="16"/>
  <c r="E491" i="16"/>
  <c r="E490" i="16"/>
  <c r="E489" i="16"/>
  <c r="E488" i="16"/>
  <c r="E487" i="16"/>
  <c r="E486" i="16"/>
  <c r="E485" i="16"/>
  <c r="E484" i="16"/>
  <c r="E483" i="16"/>
  <c r="E482" i="16"/>
  <c r="E481" i="16"/>
  <c r="E480" i="16"/>
  <c r="E479" i="16"/>
  <c r="E478" i="16"/>
  <c r="E477" i="16"/>
  <c r="E476" i="16"/>
  <c r="E475" i="16"/>
  <c r="E474" i="16"/>
  <c r="E473" i="16"/>
  <c r="E472" i="16"/>
  <c r="E471" i="16"/>
  <c r="E470" i="16"/>
  <c r="E469" i="16"/>
  <c r="E468" i="16"/>
  <c r="E467" i="16"/>
  <c r="E466" i="16"/>
  <c r="E465" i="16"/>
  <c r="E464" i="16"/>
  <c r="E463" i="16"/>
  <c r="E462" i="16"/>
  <c r="E461" i="16"/>
  <c r="E460" i="16"/>
  <c r="E459" i="16"/>
  <c r="E458" i="16"/>
  <c r="E457" i="16"/>
  <c r="E456" i="16"/>
  <c r="E455" i="16"/>
  <c r="E454" i="16"/>
  <c r="E453" i="16"/>
  <c r="E452" i="16"/>
  <c r="E451" i="16"/>
  <c r="E450" i="16"/>
  <c r="E449" i="16"/>
  <c r="E448" i="16"/>
  <c r="E447" i="16"/>
  <c r="E446" i="16"/>
  <c r="E445" i="16"/>
  <c r="E444" i="16"/>
  <c r="E443" i="16"/>
  <c r="E442" i="16"/>
  <c r="E441" i="16"/>
  <c r="E440" i="16"/>
  <c r="E439" i="16"/>
  <c r="E438" i="16"/>
  <c r="E437" i="16"/>
  <c r="E436" i="16"/>
  <c r="E435" i="16"/>
  <c r="E434" i="16"/>
  <c r="E433" i="16"/>
  <c r="E432" i="16"/>
  <c r="E431" i="16"/>
  <c r="E430" i="16"/>
  <c r="E429" i="16"/>
  <c r="E428" i="16"/>
  <c r="E427" i="16"/>
  <c r="E426" i="16"/>
  <c r="E425" i="16"/>
  <c r="E424" i="16"/>
  <c r="E423" i="16"/>
  <c r="E422" i="16"/>
  <c r="E421" i="16"/>
  <c r="E420" i="16"/>
  <c r="E419" i="16"/>
  <c r="E418" i="16"/>
  <c r="E417" i="16"/>
  <c r="E416" i="16"/>
  <c r="E415" i="16"/>
  <c r="E414" i="16"/>
  <c r="E413" i="16"/>
  <c r="E412" i="16"/>
  <c r="E411" i="16"/>
  <c r="E410" i="16"/>
  <c r="E409" i="16"/>
  <c r="E408" i="16"/>
  <c r="E407" i="16"/>
  <c r="E406" i="16"/>
  <c r="E405" i="16"/>
  <c r="E404" i="16"/>
  <c r="E403" i="16"/>
  <c r="E402" i="16"/>
  <c r="E401" i="16"/>
  <c r="E400" i="16"/>
  <c r="E399" i="16"/>
  <c r="E398" i="16"/>
  <c r="E397" i="16"/>
  <c r="E396" i="16"/>
  <c r="E395" i="16"/>
  <c r="E394" i="16"/>
  <c r="E393" i="16"/>
  <c r="E392" i="16"/>
  <c r="E391" i="16"/>
  <c r="E390" i="16"/>
  <c r="E389" i="16"/>
  <c r="E388" i="16"/>
  <c r="E387" i="16"/>
  <c r="E386" i="16"/>
  <c r="E385" i="16"/>
  <c r="E384" i="16"/>
  <c r="E383" i="16"/>
  <c r="E382" i="16"/>
  <c r="E381" i="16"/>
  <c r="E380" i="16"/>
  <c r="E379" i="16"/>
  <c r="E378" i="16"/>
  <c r="E377" i="16"/>
  <c r="E376" i="16"/>
  <c r="E375" i="16"/>
  <c r="E374" i="16"/>
  <c r="E373" i="16"/>
  <c r="E372" i="16"/>
  <c r="E371" i="16"/>
  <c r="E370" i="16"/>
  <c r="E369" i="16"/>
  <c r="E368" i="16"/>
  <c r="E367" i="16"/>
  <c r="E366" i="16"/>
  <c r="E365" i="16"/>
  <c r="E364" i="16"/>
  <c r="E363" i="16"/>
  <c r="E362" i="16"/>
  <c r="E361" i="16"/>
  <c r="E360" i="16"/>
  <c r="E359" i="16"/>
  <c r="E358" i="16"/>
  <c r="E357" i="16"/>
  <c r="E356" i="16"/>
  <c r="E355" i="16"/>
  <c r="E354" i="16"/>
  <c r="E353" i="16"/>
  <c r="E352" i="16"/>
  <c r="E351" i="16"/>
  <c r="E350" i="16"/>
  <c r="E349" i="16"/>
  <c r="E348" i="16"/>
  <c r="E347" i="16"/>
  <c r="E346" i="16"/>
  <c r="E345" i="16"/>
  <c r="E344" i="16"/>
  <c r="E343" i="16"/>
  <c r="E342" i="16"/>
  <c r="E341" i="16"/>
  <c r="E340" i="16"/>
  <c r="E339" i="16"/>
  <c r="E338" i="16"/>
  <c r="E337" i="16"/>
  <c r="E336" i="16"/>
  <c r="E335" i="16"/>
  <c r="E334" i="16"/>
  <c r="E333" i="16"/>
  <c r="E332" i="16"/>
  <c r="E331" i="16"/>
  <c r="E330" i="16"/>
  <c r="E329" i="16"/>
  <c r="E328" i="16"/>
  <c r="E327" i="16"/>
  <c r="E326" i="16"/>
  <c r="E325" i="16"/>
  <c r="E324" i="16"/>
  <c r="E323" i="16"/>
  <c r="E322" i="16"/>
  <c r="E321" i="16"/>
  <c r="E320" i="16"/>
  <c r="E319" i="16"/>
  <c r="E318" i="16"/>
  <c r="E317" i="16"/>
  <c r="E316" i="16"/>
  <c r="E315" i="16"/>
  <c r="E314" i="16"/>
  <c r="E313" i="16"/>
  <c r="E312" i="16"/>
  <c r="E311" i="16"/>
  <c r="E310" i="16"/>
  <c r="E309" i="16"/>
  <c r="E308" i="16"/>
  <c r="E307" i="16"/>
  <c r="E306" i="16"/>
  <c r="E305" i="16"/>
  <c r="E304" i="16"/>
  <c r="E303" i="16"/>
  <c r="E302" i="16"/>
  <c r="E301" i="16"/>
  <c r="E300" i="16"/>
  <c r="E299" i="16"/>
  <c r="E298" i="16"/>
  <c r="E297" i="16"/>
  <c r="E296" i="16"/>
  <c r="E295" i="16"/>
  <c r="E294" i="16"/>
  <c r="E293" i="16"/>
  <c r="E292" i="16"/>
  <c r="E291" i="16"/>
  <c r="E290" i="16"/>
  <c r="E289" i="16"/>
  <c r="E288" i="16"/>
  <c r="E287" i="16"/>
  <c r="E286" i="16"/>
  <c r="E285" i="16"/>
  <c r="E284" i="16"/>
  <c r="E283" i="16"/>
  <c r="E282" i="16"/>
  <c r="E281" i="16"/>
  <c r="E280" i="16"/>
  <c r="E279" i="16"/>
  <c r="E278" i="16"/>
  <c r="E277" i="16"/>
  <c r="E276" i="16"/>
  <c r="E275" i="16"/>
  <c r="E274" i="16"/>
  <c r="E273" i="16"/>
  <c r="E272" i="16"/>
  <c r="E271" i="16"/>
  <c r="E270" i="16"/>
  <c r="E269" i="16"/>
  <c r="E268" i="16"/>
  <c r="E267" i="16"/>
  <c r="E266" i="16"/>
  <c r="E265" i="16"/>
  <c r="E264" i="16"/>
  <c r="E263" i="16"/>
  <c r="E262" i="16"/>
  <c r="E261" i="16"/>
  <c r="E260" i="16"/>
  <c r="E259" i="16"/>
  <c r="E258" i="16"/>
  <c r="E257" i="16"/>
  <c r="E256" i="16"/>
  <c r="E255" i="16"/>
  <c r="E254" i="16"/>
  <c r="E253" i="16"/>
  <c r="E252" i="16"/>
  <c r="E251" i="16"/>
  <c r="E250" i="16"/>
  <c r="E249" i="16"/>
  <c r="E248" i="16"/>
  <c r="E247" i="16"/>
  <c r="E246" i="16"/>
  <c r="E245" i="16"/>
  <c r="E244" i="16"/>
  <c r="E243" i="16"/>
  <c r="E242" i="16"/>
  <c r="E241" i="16"/>
  <c r="E240" i="16"/>
  <c r="E239" i="16"/>
  <c r="E238" i="16"/>
  <c r="E237" i="16"/>
  <c r="E236" i="16"/>
  <c r="E235" i="16"/>
  <c r="E234" i="16"/>
  <c r="E233" i="16"/>
  <c r="E232" i="16"/>
  <c r="E231" i="16"/>
  <c r="E230" i="16"/>
  <c r="E229" i="16"/>
  <c r="E228" i="16"/>
  <c r="E227" i="16"/>
  <c r="E226" i="16"/>
  <c r="E225" i="16"/>
  <c r="E224" i="16"/>
  <c r="E223" i="16"/>
  <c r="E222" i="16"/>
  <c r="E221" i="16"/>
  <c r="E220" i="16"/>
  <c r="E219" i="16"/>
  <c r="E218" i="16"/>
  <c r="E217" i="16"/>
  <c r="E216" i="16"/>
  <c r="E215" i="16"/>
  <c r="E214" i="16"/>
  <c r="E213" i="16"/>
  <c r="E212" i="16"/>
  <c r="E211" i="16"/>
  <c r="E210" i="16"/>
  <c r="E209" i="16"/>
  <c r="E208" i="16"/>
  <c r="E207" i="16"/>
  <c r="E206" i="16"/>
  <c r="E205" i="16"/>
  <c r="E204" i="16"/>
  <c r="E203" i="16"/>
  <c r="E202" i="16"/>
  <c r="E201" i="16"/>
  <c r="E200" i="16"/>
  <c r="E199" i="16"/>
  <c r="E198" i="16"/>
  <c r="E197" i="16"/>
  <c r="E196" i="16"/>
  <c r="E195" i="16"/>
  <c r="E194" i="16"/>
  <c r="E193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4" i="16"/>
  <c r="E153" i="16"/>
  <c r="E152" i="16"/>
  <c r="E151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8" i="16"/>
  <c r="E137" i="16"/>
  <c r="E136" i="16"/>
  <c r="E135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7" i="16"/>
  <c r="E116" i="16"/>
  <c r="E115" i="16"/>
  <c r="E114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D174" i="16"/>
  <c r="D141" i="16" s="1"/>
  <c r="D146" i="16" s="1"/>
  <c r="D143" i="16" s="1"/>
  <c r="D27" i="16"/>
  <c r="D32" i="16" s="1"/>
  <c r="D29" i="16" s="1"/>
  <c r="D1537" i="16"/>
  <c r="C1538" i="16"/>
  <c r="D1538" i="16"/>
  <c r="E1538" i="16"/>
  <c r="E1537" i="16"/>
  <c r="B1538" i="16"/>
  <c r="D502" i="16"/>
  <c r="D503" i="16"/>
  <c r="D464" i="16"/>
  <c r="D465" i="16"/>
  <c r="D446" i="16"/>
  <c r="D447" i="16"/>
  <c r="D412" i="16"/>
  <c r="D413" i="16"/>
  <c r="D536" i="16"/>
  <c r="D581" i="16"/>
  <c r="C638" i="16"/>
  <c r="D638" i="16"/>
  <c r="D631" i="16" s="1"/>
  <c r="D615" i="16" s="1"/>
  <c r="D619" i="16" s="1"/>
  <c r="D617" i="16" s="1"/>
  <c r="D1526" i="16"/>
  <c r="C1526" i="16"/>
  <c r="C1523" i="16" s="1"/>
  <c r="C1521" i="16" s="1"/>
  <c r="B1526" i="16"/>
  <c r="B1524" i="16"/>
  <c r="D1523" i="16"/>
  <c r="B1523" i="16"/>
  <c r="B1521" i="16" s="1"/>
  <c r="D1522" i="16"/>
  <c r="C1522" i="16"/>
  <c r="D1521" i="16"/>
  <c r="B1500" i="16"/>
  <c r="B1499" i="16"/>
  <c r="D1497" i="16"/>
  <c r="C1497" i="16"/>
  <c r="B1497" i="16"/>
  <c r="D1494" i="16"/>
  <c r="C1494" i="16"/>
  <c r="B1494" i="16"/>
  <c r="D1485" i="16"/>
  <c r="D1484" i="16" s="1"/>
  <c r="C1485" i="16"/>
  <c r="C1484" i="16" s="1"/>
  <c r="B1485" i="16"/>
  <c r="B1484" i="16" s="1"/>
  <c r="D1478" i="16"/>
  <c r="D1477" i="16" s="1"/>
  <c r="C1478" i="16"/>
  <c r="C1477" i="16" s="1"/>
  <c r="B1478" i="16"/>
  <c r="B1477" i="16"/>
  <c r="B1475" i="16"/>
  <c r="B1474" i="16"/>
  <c r="D1473" i="16"/>
  <c r="C1473" i="16"/>
  <c r="B1473" i="16"/>
  <c r="B1450" i="16"/>
  <c r="B1449" i="16"/>
  <c r="D1447" i="16"/>
  <c r="C1447" i="16"/>
  <c r="B1447" i="16"/>
  <c r="D1444" i="16"/>
  <c r="C1444" i="16"/>
  <c r="B1444" i="16"/>
  <c r="D1435" i="16"/>
  <c r="D1434" i="16" s="1"/>
  <c r="C1435" i="16"/>
  <c r="B1435" i="16"/>
  <c r="C1434" i="16"/>
  <c r="D1429" i="16"/>
  <c r="C1429" i="16"/>
  <c r="C1428" i="16" s="1"/>
  <c r="B1429" i="16"/>
  <c r="B1428" i="16" s="1"/>
  <c r="D1428" i="16"/>
  <c r="B1426" i="16"/>
  <c r="B1425" i="16"/>
  <c r="D1424" i="16"/>
  <c r="C1424" i="16"/>
  <c r="B1424" i="16"/>
  <c r="B1398" i="16"/>
  <c r="B1397" i="16"/>
  <c r="B1395" i="16" s="1"/>
  <c r="D1395" i="16"/>
  <c r="C1395" i="16"/>
  <c r="D1392" i="16"/>
  <c r="C1392" i="16"/>
  <c r="B1392" i="16"/>
  <c r="D1379" i="16"/>
  <c r="C1379" i="16"/>
  <c r="B1379" i="16"/>
  <c r="D1374" i="16"/>
  <c r="C1374" i="16"/>
  <c r="B1374" i="16"/>
  <c r="D1369" i="16"/>
  <c r="D1367" i="16" s="1"/>
  <c r="C1369" i="16"/>
  <c r="B1369" i="16"/>
  <c r="C1367" i="16"/>
  <c r="D1362" i="16"/>
  <c r="D1361" i="16" s="1"/>
  <c r="C1362" i="16"/>
  <c r="B1362" i="16"/>
  <c r="C1361" i="16"/>
  <c r="B1361" i="16"/>
  <c r="B1359" i="16"/>
  <c r="B1358" i="16"/>
  <c r="D1357" i="16"/>
  <c r="C1357" i="16"/>
  <c r="B1357" i="16"/>
  <c r="D1331" i="16"/>
  <c r="B1331" i="16"/>
  <c r="D1330" i="16"/>
  <c r="B1330" i="16"/>
  <c r="B1328" i="16" s="1"/>
  <c r="D1328" i="16"/>
  <c r="C1328" i="16"/>
  <c r="D1325" i="16"/>
  <c r="C1325" i="16"/>
  <c r="B1325" i="16"/>
  <c r="D1316" i="16"/>
  <c r="D1314" i="16" s="1"/>
  <c r="C1316" i="16"/>
  <c r="C1314" i="16" s="1"/>
  <c r="B1316" i="16"/>
  <c r="B1311" i="16"/>
  <c r="B1309" i="16" s="1"/>
  <c r="D1309" i="16"/>
  <c r="D1308" i="16" s="1"/>
  <c r="C1309" i="16"/>
  <c r="C1308" i="16" s="1"/>
  <c r="B1306" i="16"/>
  <c r="B1305" i="16"/>
  <c r="D1304" i="16"/>
  <c r="C1304" i="16"/>
  <c r="B1304" i="16"/>
  <c r="B1280" i="16"/>
  <c r="B1279" i="16"/>
  <c r="D1277" i="16"/>
  <c r="C1277" i="16"/>
  <c r="B1277" i="16"/>
  <c r="D1270" i="16"/>
  <c r="C1270" i="16"/>
  <c r="B1270" i="16"/>
  <c r="B1269" i="16" s="1"/>
  <c r="D1269" i="16"/>
  <c r="C1269" i="16"/>
  <c r="D1266" i="16"/>
  <c r="C1266" i="16"/>
  <c r="B1266" i="16"/>
  <c r="D1257" i="16"/>
  <c r="C1257" i="16"/>
  <c r="B1257" i="16"/>
  <c r="D1252" i="16"/>
  <c r="D1250" i="16" s="1"/>
  <c r="C1252" i="16"/>
  <c r="C1250" i="16"/>
  <c r="D1245" i="16"/>
  <c r="C1245" i="16"/>
  <c r="C1244" i="16" s="1"/>
  <c r="B1245" i="16"/>
  <c r="B1244" i="16" s="1"/>
  <c r="D1244" i="16"/>
  <c r="D1239" i="16"/>
  <c r="D1238" i="16" s="1"/>
  <c r="C1239" i="16"/>
  <c r="B1239" i="16"/>
  <c r="C1238" i="16"/>
  <c r="B1238" i="16"/>
  <c r="B1236" i="16"/>
  <c r="B1235" i="16"/>
  <c r="D1234" i="16"/>
  <c r="C1234" i="16"/>
  <c r="B1234" i="16"/>
  <c r="B1209" i="16"/>
  <c r="B1208" i="16"/>
  <c r="D1206" i="16"/>
  <c r="C1206" i="16"/>
  <c r="B1206" i="16"/>
  <c r="D1203" i="16"/>
  <c r="C1203" i="16"/>
  <c r="B1203" i="16"/>
  <c r="D1194" i="16"/>
  <c r="C1194" i="16"/>
  <c r="C1193" i="16" s="1"/>
  <c r="B1194" i="16"/>
  <c r="B1193" i="16" s="1"/>
  <c r="D1193" i="16"/>
  <c r="D1188" i="16"/>
  <c r="B1152" i="16"/>
  <c r="B1149" i="16"/>
  <c r="B1148" i="16"/>
  <c r="D1146" i="16"/>
  <c r="C1146" i="16"/>
  <c r="B1146" i="16"/>
  <c r="D1142" i="16"/>
  <c r="C1142" i="16"/>
  <c r="B1142" i="16"/>
  <c r="D1133" i="16"/>
  <c r="D1132" i="16" s="1"/>
  <c r="C1133" i="16"/>
  <c r="C1132" i="16" s="1"/>
  <c r="B1133" i="16"/>
  <c r="B1132" i="16"/>
  <c r="D1127" i="16"/>
  <c r="C1127" i="16"/>
  <c r="B1127" i="16"/>
  <c r="D1126" i="16"/>
  <c r="C1126" i="16"/>
  <c r="D1122" i="16"/>
  <c r="C1122" i="16"/>
  <c r="B1122" i="16"/>
  <c r="B1097" i="16"/>
  <c r="B1096" i="16"/>
  <c r="D1094" i="16"/>
  <c r="C1094" i="16"/>
  <c r="B1094" i="16"/>
  <c r="D1091" i="16"/>
  <c r="C1091" i="16"/>
  <c r="B1091" i="16"/>
  <c r="D1082" i="16"/>
  <c r="D1081" i="16" s="1"/>
  <c r="C1082" i="16"/>
  <c r="B1082" i="16"/>
  <c r="C1081" i="16"/>
  <c r="D1076" i="16"/>
  <c r="C1076" i="16"/>
  <c r="C1075" i="16" s="1"/>
  <c r="B1076" i="16"/>
  <c r="B1075" i="16" s="1"/>
  <c r="D1075" i="16"/>
  <c r="B1073" i="16"/>
  <c r="B1072" i="16"/>
  <c r="D1071" i="16"/>
  <c r="C1071" i="16"/>
  <c r="B1071" i="16"/>
  <c r="D1060" i="16"/>
  <c r="B1060" i="16"/>
  <c r="D1059" i="16"/>
  <c r="B1059" i="16"/>
  <c r="D1054" i="16"/>
  <c r="D1057" i="16" s="1"/>
  <c r="D1056" i="16" s="1"/>
  <c r="C1054" i="16"/>
  <c r="C1057" i="16" s="1"/>
  <c r="C1056" i="16" s="1"/>
  <c r="B1038" i="16"/>
  <c r="B1032" i="16"/>
  <c r="B1031" i="16"/>
  <c r="D1024" i="16"/>
  <c r="D1029" i="16" s="1"/>
  <c r="D1026" i="16" s="1"/>
  <c r="C1024" i="16"/>
  <c r="C1029" i="16" s="1"/>
  <c r="C1026" i="16" s="1"/>
  <c r="B1024" i="16"/>
  <c r="B1029" i="16" s="1"/>
  <c r="C1006" i="16"/>
  <c r="C1001" i="16"/>
  <c r="D975" i="16"/>
  <c r="B975" i="16"/>
  <c r="D974" i="16"/>
  <c r="B974" i="16"/>
  <c r="D972" i="16"/>
  <c r="C972" i="16"/>
  <c r="B972" i="16"/>
  <c r="B970" i="16"/>
  <c r="B969" i="16"/>
  <c r="C968" i="16"/>
  <c r="B968" i="16"/>
  <c r="B965" i="16"/>
  <c r="B957" i="16"/>
  <c r="D956" i="16"/>
  <c r="B956" i="16"/>
  <c r="B952" i="16"/>
  <c r="B951" i="16"/>
  <c r="B949" i="16"/>
  <c r="D948" i="16"/>
  <c r="D938" i="16"/>
  <c r="C938" i="16"/>
  <c r="C937" i="16" s="1"/>
  <c r="B938" i="16"/>
  <c r="D920" i="16"/>
  <c r="B902" i="16"/>
  <c r="B880" i="16"/>
  <c r="B879" i="16"/>
  <c r="D876" i="16"/>
  <c r="D871" i="16" s="1"/>
  <c r="D874" i="16"/>
  <c r="B874" i="16"/>
  <c r="D873" i="16"/>
  <c r="B873" i="16"/>
  <c r="C871" i="16"/>
  <c r="D866" i="16"/>
  <c r="B866" i="16"/>
  <c r="D865" i="16"/>
  <c r="D864" i="16" s="1"/>
  <c r="B865" i="16"/>
  <c r="B864" i="16" s="1"/>
  <c r="D849" i="16"/>
  <c r="B849" i="16"/>
  <c r="D848" i="16"/>
  <c r="D847" i="16" s="1"/>
  <c r="C848" i="16"/>
  <c r="C847" i="16" s="1"/>
  <c r="C839" i="16" s="1"/>
  <c r="C845" i="16" s="1"/>
  <c r="C841" i="16" s="1"/>
  <c r="B848" i="16"/>
  <c r="B847" i="16" s="1"/>
  <c r="B798" i="16"/>
  <c r="D794" i="16"/>
  <c r="B794" i="16"/>
  <c r="D789" i="16"/>
  <c r="B789" i="16"/>
  <c r="D787" i="16"/>
  <c r="B787" i="16"/>
  <c r="D786" i="16"/>
  <c r="B786" i="16"/>
  <c r="C784" i="16"/>
  <c r="B782" i="16"/>
  <c r="B776" i="16"/>
  <c r="D769" i="16"/>
  <c r="D768" i="16" s="1"/>
  <c r="C769" i="16"/>
  <c r="B769" i="16"/>
  <c r="C768" i="16"/>
  <c r="C761" i="16" s="1"/>
  <c r="C766" i="16" s="1"/>
  <c r="C763" i="16" s="1"/>
  <c r="B743" i="16"/>
  <c r="B741" i="16"/>
  <c r="B735" i="16"/>
  <c r="D723" i="16"/>
  <c r="D718" i="16" s="1"/>
  <c r="C723" i="16"/>
  <c r="C718" i="16" s="1"/>
  <c r="B723" i="16"/>
  <c r="B721" i="16"/>
  <c r="B720" i="16"/>
  <c r="D712" i="16"/>
  <c r="C712" i="16"/>
  <c r="B712" i="16"/>
  <c r="D711" i="16"/>
  <c r="C711" i="16"/>
  <c r="B711" i="16"/>
  <c r="B710" i="16" s="1"/>
  <c r="D710" i="16"/>
  <c r="C705" i="16"/>
  <c r="B705" i="16"/>
  <c r="C704" i="16"/>
  <c r="B704" i="16"/>
  <c r="D683" i="16"/>
  <c r="C683" i="16"/>
  <c r="B683" i="16"/>
  <c r="D682" i="16"/>
  <c r="D664" i="16" s="1"/>
  <c r="C682" i="16"/>
  <c r="B682" i="16"/>
  <c r="D666" i="16"/>
  <c r="C666" i="16"/>
  <c r="B666" i="16"/>
  <c r="D665" i="16"/>
  <c r="C665" i="16"/>
  <c r="B665" i="16"/>
  <c r="C361" i="16"/>
  <c r="D361" i="16"/>
  <c r="D378" i="16"/>
  <c r="D347" i="16"/>
  <c r="D346" i="16"/>
  <c r="D345" i="16" s="1"/>
  <c r="D339" i="16"/>
  <c r="D338" i="16"/>
  <c r="D333" i="16"/>
  <c r="D315" i="16"/>
  <c r="D314" i="16"/>
  <c r="D216" i="16"/>
  <c r="D209" i="16" s="1"/>
  <c r="D214" i="16" s="1"/>
  <c r="D211" i="16" s="1"/>
  <c r="D217" i="16"/>
  <c r="D266" i="16"/>
  <c r="D240" i="16" s="1"/>
  <c r="B243" i="16"/>
  <c r="D242" i="16"/>
  <c r="C242" i="16"/>
  <c r="B242" i="16"/>
  <c r="D231" i="16"/>
  <c r="B216" i="16"/>
  <c r="C216" i="16"/>
  <c r="B217" i="16"/>
  <c r="C217" i="16"/>
  <c r="D160" i="16"/>
  <c r="D151" i="16"/>
  <c r="D149" i="16"/>
  <c r="C149" i="16"/>
  <c r="B149" i="16"/>
  <c r="D148" i="16"/>
  <c r="C148" i="16"/>
  <c r="B148" i="16"/>
  <c r="D130" i="16"/>
  <c r="D134" i="16" s="1"/>
  <c r="D132" i="16" s="1"/>
  <c r="C130" i="16"/>
  <c r="C134" i="16"/>
  <c r="C132" i="16" s="1"/>
  <c r="B136" i="16"/>
  <c r="B130" i="16" s="1"/>
  <c r="B137" i="16"/>
  <c r="B122" i="16"/>
  <c r="B121" i="16"/>
  <c r="D115" i="16"/>
  <c r="D119" i="16" s="1"/>
  <c r="D117" i="16" s="1"/>
  <c r="B115" i="16"/>
  <c r="B99" i="16"/>
  <c r="B86" i="16"/>
  <c r="B65" i="16"/>
  <c r="B54" i="16"/>
  <c r="B53" i="16"/>
  <c r="B51" i="16"/>
  <c r="B50" i="16"/>
  <c r="B13" i="16"/>
  <c r="B12" i="16"/>
  <c r="D6" i="16"/>
  <c r="D10" i="16" s="1"/>
  <c r="D8" i="16" s="1"/>
  <c r="C6" i="16"/>
  <c r="C10" i="16" s="1"/>
  <c r="C8" i="16" s="1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G296" i="18"/>
  <c r="G295" i="18"/>
  <c r="G294" i="18"/>
  <c r="G293" i="18"/>
  <c r="G292" i="18"/>
  <c r="G291" i="18"/>
  <c r="G289" i="18"/>
  <c r="G288" i="18"/>
  <c r="G287" i="18"/>
  <c r="G284" i="18"/>
  <c r="G282" i="18"/>
  <c r="G281" i="18"/>
  <c r="G280" i="18"/>
  <c r="G279" i="18"/>
  <c r="G278" i="18"/>
  <c r="G277" i="18"/>
  <c r="G276" i="18"/>
  <c r="G275" i="18"/>
  <c r="G272" i="18"/>
  <c r="G271" i="18"/>
  <c r="G270" i="18"/>
  <c r="G269" i="18"/>
  <c r="G268" i="18"/>
  <c r="G267" i="18"/>
  <c r="G266" i="18"/>
  <c r="G265" i="18"/>
  <c r="G264" i="18"/>
  <c r="G263" i="18"/>
  <c r="G262" i="18"/>
  <c r="G261" i="18"/>
  <c r="G260" i="18"/>
  <c r="G259" i="18"/>
  <c r="G256" i="18"/>
  <c r="G255" i="18"/>
  <c r="G254" i="18"/>
  <c r="G253" i="18"/>
  <c r="G252" i="18"/>
  <c r="G251" i="18"/>
  <c r="G250" i="18"/>
  <c r="G249" i="18"/>
  <c r="G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290" i="18"/>
  <c r="G257" i="18"/>
  <c r="B718" i="16" l="1"/>
  <c r="D657" i="16"/>
  <c r="D662" i="16" s="1"/>
  <c r="D659" i="16" s="1"/>
  <c r="B768" i="16"/>
  <c r="B1081" i="16"/>
  <c r="D1065" i="16"/>
  <c r="D1069" i="16" s="1"/>
  <c r="D1067" i="16" s="1"/>
  <c r="D1116" i="16"/>
  <c r="D1120" i="16" s="1"/>
  <c r="D1118" i="16" s="1"/>
  <c r="D1298" i="16"/>
  <c r="D1302" i="16" s="1"/>
  <c r="D1300" i="16" s="1"/>
  <c r="B1434" i="16"/>
  <c r="D1418" i="16"/>
  <c r="D1422" i="16" s="1"/>
  <c r="D1420" i="16" s="1"/>
  <c r="C1181" i="16"/>
  <c r="C1185" i="16" s="1"/>
  <c r="C1183" i="16" s="1"/>
  <c r="C1351" i="16"/>
  <c r="C1355" i="16" s="1"/>
  <c r="C1353" i="16" s="1"/>
  <c r="C1467" i="16"/>
  <c r="C1471" i="16" s="1"/>
  <c r="C1469" i="16" s="1"/>
  <c r="D353" i="16"/>
  <c r="C1228" i="16"/>
  <c r="C1232" i="16" s="1"/>
  <c r="C1230" i="16" s="1"/>
  <c r="D937" i="16"/>
  <c r="D930" i="16" s="1"/>
  <c r="D935" i="16" s="1"/>
  <c r="D932" i="16" s="1"/>
  <c r="C1116" i="16"/>
  <c r="C1120" i="16" s="1"/>
  <c r="C1118" i="16" s="1"/>
  <c r="C1418" i="16"/>
  <c r="C1422" i="16" s="1"/>
  <c r="C1420" i="16" s="1"/>
  <c r="B1181" i="16"/>
  <c r="D1467" i="16"/>
  <c r="D1471" i="16" s="1"/>
  <c r="D1469" i="16" s="1"/>
  <c r="B664" i="16"/>
  <c r="B657" i="16" s="1"/>
  <c r="B662" i="16" s="1"/>
  <c r="D784" i="16"/>
  <c r="D761" i="16" s="1"/>
  <c r="D766" i="16" s="1"/>
  <c r="D763" i="16" s="1"/>
  <c r="B1250" i="16"/>
  <c r="D411" i="16"/>
  <c r="D839" i="16"/>
  <c r="D845" i="16" s="1"/>
  <c r="D841" i="16" s="1"/>
  <c r="C930" i="16"/>
  <c r="C935" i="16" s="1"/>
  <c r="C932" i="16" s="1"/>
  <c r="B1065" i="16"/>
  <c r="D1228" i="16"/>
  <c r="D1232" i="16" s="1"/>
  <c r="D1230" i="16" s="1"/>
  <c r="C1065" i="16"/>
  <c r="C1069" i="16" s="1"/>
  <c r="C1067" i="16" s="1"/>
  <c r="C1298" i="16"/>
  <c r="C1302" i="16" s="1"/>
  <c r="C1300" i="16" s="1"/>
  <c r="D534" i="16"/>
  <c r="C710" i="16"/>
  <c r="B1126" i="16"/>
  <c r="B1467" i="16"/>
  <c r="D313" i="16"/>
  <c r="B659" i="16"/>
  <c r="C664" i="16"/>
  <c r="B784" i="16"/>
  <c r="B1069" i="16"/>
  <c r="B1308" i="16"/>
  <c r="D1351" i="16"/>
  <c r="D1355" i="16" s="1"/>
  <c r="D1353" i="16" s="1"/>
  <c r="B1026" i="16"/>
  <c r="B876" i="16"/>
  <c r="B948" i="16"/>
  <c r="D1187" i="16"/>
  <c r="B1314" i="16"/>
  <c r="B1418" i="16"/>
  <c r="B1367" i="16"/>
  <c r="B1054" i="16"/>
  <c r="B134" i="16"/>
  <c r="B119" i="16"/>
  <c r="B6" i="16"/>
  <c r="F260" i="18"/>
  <c r="F271" i="18"/>
  <c r="E269" i="18"/>
  <c r="F269" i="18"/>
  <c r="F289" i="18"/>
  <c r="F249" i="18"/>
  <c r="F205" i="18"/>
  <c r="F206" i="18"/>
  <c r="F207" i="18"/>
  <c r="F181" i="18"/>
  <c r="F180" i="18" s="1"/>
  <c r="F202" i="18"/>
  <c r="F176" i="18"/>
  <c r="F137" i="18"/>
  <c r="C113" i="18"/>
  <c r="F113" i="18"/>
  <c r="F121" i="18"/>
  <c r="F114" i="18"/>
  <c r="F75" i="18"/>
  <c r="F76" i="18"/>
  <c r="F79" i="18"/>
  <c r="F78" i="18" s="1"/>
  <c r="F82" i="18"/>
  <c r="C51" i="18"/>
  <c r="E48" i="18"/>
  <c r="F48" i="18"/>
  <c r="F23" i="18" s="1"/>
  <c r="E49" i="18"/>
  <c r="F49" i="18"/>
  <c r="F24" i="18" s="1"/>
  <c r="F17" i="18" s="1"/>
  <c r="F10" i="18" s="1"/>
  <c r="F294" i="18" s="1"/>
  <c r="E50" i="18"/>
  <c r="F50" i="18"/>
  <c r="F25" i="18" s="1"/>
  <c r="F19" i="18" s="1"/>
  <c r="F12" i="18" s="1"/>
  <c r="F296" i="18" s="1"/>
  <c r="E51" i="18"/>
  <c r="F51" i="18"/>
  <c r="B871" i="16" l="1"/>
  <c r="B1185" i="16"/>
  <c r="B1116" i="16"/>
  <c r="D404" i="16"/>
  <c r="D409" i="16" s="1"/>
  <c r="D406" i="16" s="1"/>
  <c r="B1228" i="16"/>
  <c r="B1471" i="16"/>
  <c r="D306" i="16"/>
  <c r="B1351" i="16"/>
  <c r="B937" i="16"/>
  <c r="D1181" i="16"/>
  <c r="B1067" i="16"/>
  <c r="C657" i="16"/>
  <c r="B761" i="16"/>
  <c r="B1057" i="16"/>
  <c r="B1120" i="16"/>
  <c r="B1298" i="16"/>
  <c r="B839" i="16"/>
  <c r="B1422" i="16"/>
  <c r="B132" i="16"/>
  <c r="B117" i="16"/>
  <c r="E6" i="16"/>
  <c r="B10" i="16"/>
  <c r="F16" i="18"/>
  <c r="F9" i="18" s="1"/>
  <c r="F293" i="18"/>
  <c r="F259" i="18"/>
  <c r="F77" i="18"/>
  <c r="F18" i="18" s="1"/>
  <c r="F11" i="18" s="1"/>
  <c r="F295" i="18" s="1"/>
  <c r="F204" i="18"/>
  <c r="F74" i="18"/>
  <c r="F15" i="18" s="1"/>
  <c r="F8" i="18" s="1"/>
  <c r="F22" i="18"/>
  <c r="E47" i="18"/>
  <c r="F47" i="18"/>
  <c r="F112" i="18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D33" i="21"/>
  <c r="D38" i="21" s="1"/>
  <c r="D20" i="21"/>
  <c r="D12" i="21"/>
  <c r="D5" i="21"/>
  <c r="D18" i="21" s="1"/>
  <c r="D31" i="21" s="1"/>
  <c r="C70" i="22"/>
  <c r="D60" i="22"/>
  <c r="C60" i="22"/>
  <c r="B60" i="22"/>
  <c r="D49" i="22"/>
  <c r="C48" i="22"/>
  <c r="C53" i="22" s="1"/>
  <c r="B48" i="22"/>
  <c r="B53" i="22" s="1"/>
  <c r="C45" i="22"/>
  <c r="B45" i="22"/>
  <c r="D44" i="22"/>
  <c r="D43" i="22"/>
  <c r="C30" i="22"/>
  <c r="C34" i="22" s="1"/>
  <c r="C23" i="22"/>
  <c r="B23" i="22"/>
  <c r="C22" i="22"/>
  <c r="C71" i="22" s="1"/>
  <c r="B22" i="22"/>
  <c r="B71" i="22" s="1"/>
  <c r="D6" i="22"/>
  <c r="C6" i="22"/>
  <c r="B6" i="22"/>
  <c r="B70" i="22" s="1"/>
  <c r="B1469" i="16" l="1"/>
  <c r="B1232" i="16"/>
  <c r="B1183" i="16"/>
  <c r="D311" i="16"/>
  <c r="B1302" i="16"/>
  <c r="C662" i="16"/>
  <c r="D1185" i="16"/>
  <c r="B1355" i="16"/>
  <c r="B1118" i="16"/>
  <c r="B766" i="16"/>
  <c r="B845" i="16"/>
  <c r="B930" i="16"/>
  <c r="B1420" i="16"/>
  <c r="B1056" i="16"/>
  <c r="B8" i="16"/>
  <c r="F7" i="18"/>
  <c r="F292" i="18"/>
  <c r="F291" i="18" s="1"/>
  <c r="F73" i="18"/>
  <c r="F14" i="18"/>
  <c r="B68" i="22"/>
  <c r="D45" i="22"/>
  <c r="B30" i="22"/>
  <c r="D48" i="22"/>
  <c r="C68" i="22"/>
  <c r="D70" i="22"/>
  <c r="E6" i="22"/>
  <c r="B1230" i="16" l="1"/>
  <c r="D308" i="16"/>
  <c r="B935" i="16"/>
  <c r="B841" i="16"/>
  <c r="D1183" i="16"/>
  <c r="B763" i="16"/>
  <c r="B1353" i="16"/>
  <c r="C659" i="16"/>
  <c r="B1300" i="16"/>
  <c r="D53" i="22"/>
  <c r="B34" i="22"/>
  <c r="B932" i="16" l="1"/>
  <c r="D68" i="22"/>
  <c r="E166" i="18" l="1"/>
  <c r="E163" i="18" s="1"/>
  <c r="C165" i="18"/>
  <c r="C167" i="18"/>
  <c r="C182" i="18" l="1"/>
  <c r="C154" i="18"/>
  <c r="C209" i="18"/>
  <c r="C208" i="18"/>
  <c r="D167" i="18"/>
  <c r="C123" i="18"/>
  <c r="C114" i="18" s="1"/>
  <c r="C82" i="18"/>
  <c r="C67" i="18"/>
  <c r="D67" i="18"/>
  <c r="C68" i="18"/>
  <c r="D68" i="18"/>
  <c r="C69" i="18"/>
  <c r="C59" i="18"/>
  <c r="C207" i="18" l="1"/>
  <c r="D66" i="18"/>
  <c r="C66" i="18"/>
  <c r="G50" i="23"/>
  <c r="K50" i="23" s="1"/>
  <c r="G49" i="23"/>
  <c r="B49" i="23"/>
  <c r="D49" i="23" s="1"/>
  <c r="F46" i="23"/>
  <c r="C48" i="23"/>
  <c r="C46" i="23" s="1"/>
  <c r="B48" i="23"/>
  <c r="G47" i="23"/>
  <c r="B47" i="23"/>
  <c r="D47" i="23" s="1"/>
  <c r="G45" i="23"/>
  <c r="K45" i="23" s="1"/>
  <c r="G43" i="23"/>
  <c r="K43" i="23" s="1"/>
  <c r="G42" i="23"/>
  <c r="B42" i="23"/>
  <c r="D42" i="23" s="1"/>
  <c r="K42" i="23" s="1"/>
  <c r="G41" i="23"/>
  <c r="K41" i="23" s="1"/>
  <c r="G39" i="23"/>
  <c r="B39" i="23"/>
  <c r="D39" i="23" s="1"/>
  <c r="G38" i="23"/>
  <c r="B38" i="23"/>
  <c r="D38" i="23" s="1"/>
  <c r="K38" i="23" s="1"/>
  <c r="G36" i="23"/>
  <c r="K36" i="23" s="1"/>
  <c r="G35" i="23"/>
  <c r="B35" i="23"/>
  <c r="D35" i="23" s="1"/>
  <c r="K35" i="23" s="1"/>
  <c r="B34" i="23"/>
  <c r="D34" i="23" s="1"/>
  <c r="K34" i="23" s="1"/>
  <c r="B33" i="23"/>
  <c r="D33" i="23" s="1"/>
  <c r="K33" i="23" s="1"/>
  <c r="G31" i="23"/>
  <c r="K31" i="23" s="1"/>
  <c r="G30" i="23"/>
  <c r="B30" i="23"/>
  <c r="D30" i="23" s="1"/>
  <c r="K30" i="23" s="1"/>
  <c r="G28" i="23"/>
  <c r="K28" i="23" s="1"/>
  <c r="B27" i="23"/>
  <c r="B25" i="23"/>
  <c r="D25" i="23" s="1"/>
  <c r="G23" i="23"/>
  <c r="K23" i="23" s="1"/>
  <c r="E18" i="23"/>
  <c r="B21" i="23"/>
  <c r="G17" i="23"/>
  <c r="K17" i="23" s="1"/>
  <c r="G16" i="23"/>
  <c r="B16" i="23"/>
  <c r="D16" i="23" s="1"/>
  <c r="G15" i="23"/>
  <c r="K15" i="23" s="1"/>
  <c r="G14" i="23"/>
  <c r="B14" i="23"/>
  <c r="D14" i="23" s="1"/>
  <c r="K14" i="23" s="1"/>
  <c r="B13" i="23"/>
  <c r="D13" i="23" s="1"/>
  <c r="G12" i="23"/>
  <c r="B12" i="23"/>
  <c r="D12" i="23" s="1"/>
  <c r="K12" i="23" s="1"/>
  <c r="G10" i="23"/>
  <c r="K10" i="23" s="1"/>
  <c r="G9" i="23"/>
  <c r="B9" i="23"/>
  <c r="D9" i="23" s="1"/>
  <c r="G8" i="23"/>
  <c r="B8" i="23"/>
  <c r="D8" i="23" s="1"/>
  <c r="K8" i="23" s="1"/>
  <c r="G6" i="23"/>
  <c r="K6" i="23" s="1"/>
  <c r="B36" i="21"/>
  <c r="B35" i="21"/>
  <c r="C33" i="21"/>
  <c r="B29" i="21"/>
  <c r="B28" i="21"/>
  <c r="B25" i="21"/>
  <c r="B24" i="21"/>
  <c r="B22" i="21"/>
  <c r="C20" i="21"/>
  <c r="B16" i="21"/>
  <c r="C12" i="21"/>
  <c r="B9" i="21"/>
  <c r="B7" i="21"/>
  <c r="C5" i="21"/>
  <c r="D13" i="19"/>
  <c r="B12" i="19"/>
  <c r="D12" i="19" s="1"/>
  <c r="D11" i="19"/>
  <c r="D9" i="19"/>
  <c r="D8" i="19"/>
  <c r="B7" i="19"/>
  <c r="D7" i="19" s="1"/>
  <c r="D6" i="19"/>
  <c r="D5" i="19"/>
  <c r="D4" i="19"/>
  <c r="B4" i="19"/>
  <c r="E289" i="18"/>
  <c r="D287" i="18"/>
  <c r="G286" i="18"/>
  <c r="G285" i="18"/>
  <c r="D278" i="18"/>
  <c r="D275" i="18"/>
  <c r="G274" i="18"/>
  <c r="G273" i="18"/>
  <c r="E271" i="18"/>
  <c r="D271" i="18"/>
  <c r="C271" i="18"/>
  <c r="D269" i="18"/>
  <c r="C269" i="18"/>
  <c r="D265" i="18"/>
  <c r="C265" i="18"/>
  <c r="E260" i="18"/>
  <c r="D260" i="18"/>
  <c r="C260" i="18"/>
  <c r="D255" i="18"/>
  <c r="C255" i="18"/>
  <c r="E249" i="18"/>
  <c r="D249" i="18"/>
  <c r="C249" i="18"/>
  <c r="D247" i="18"/>
  <c r="C247" i="18"/>
  <c r="C243" i="18"/>
  <c r="C241" i="18"/>
  <c r="D209" i="18"/>
  <c r="E208" i="18"/>
  <c r="E207" i="18" s="1"/>
  <c r="E206" i="18"/>
  <c r="C206" i="18"/>
  <c r="C77" i="18" s="1"/>
  <c r="D205" i="18"/>
  <c r="E202" i="18"/>
  <c r="D202" i="18"/>
  <c r="C202" i="18"/>
  <c r="E199" i="18"/>
  <c r="C199" i="18"/>
  <c r="C192" i="18"/>
  <c r="D185" i="18"/>
  <c r="C185" i="18"/>
  <c r="E182" i="18"/>
  <c r="D182" i="18"/>
  <c r="E181" i="18"/>
  <c r="D181" i="18"/>
  <c r="E176" i="18"/>
  <c r="D176" i="18"/>
  <c r="C176" i="18"/>
  <c r="D171" i="18"/>
  <c r="C171" i="18"/>
  <c r="E75" i="18"/>
  <c r="E293" i="18" s="1"/>
  <c r="D166" i="18"/>
  <c r="C166" i="18"/>
  <c r="D164" i="18"/>
  <c r="C164" i="18"/>
  <c r="E154" i="18"/>
  <c r="D154" i="18"/>
  <c r="C153" i="18"/>
  <c r="C137" i="18" s="1"/>
  <c r="E137" i="18"/>
  <c r="D137" i="18"/>
  <c r="E124" i="18"/>
  <c r="C124" i="18"/>
  <c r="E121" i="18"/>
  <c r="D121" i="18"/>
  <c r="C121" i="18"/>
  <c r="E117" i="18"/>
  <c r="D117" i="18"/>
  <c r="C117" i="18"/>
  <c r="E114" i="18"/>
  <c r="D114" i="18"/>
  <c r="E113" i="18"/>
  <c r="D113" i="18"/>
  <c r="D82" i="18"/>
  <c r="D81" i="18"/>
  <c r="C81" i="18"/>
  <c r="E79" i="18"/>
  <c r="E78" i="18" s="1"/>
  <c r="D79" i="18"/>
  <c r="C79" i="18"/>
  <c r="E76" i="18"/>
  <c r="E69" i="18"/>
  <c r="E68" i="18"/>
  <c r="E67" i="18"/>
  <c r="D59" i="18"/>
  <c r="D51" i="18"/>
  <c r="D50" i="18"/>
  <c r="C50" i="18"/>
  <c r="D49" i="18"/>
  <c r="C49" i="18"/>
  <c r="D48" i="18"/>
  <c r="C48" i="18"/>
  <c r="E44" i="18"/>
  <c r="C44" i="18"/>
  <c r="E43" i="18"/>
  <c r="C43" i="18"/>
  <c r="E42" i="18"/>
  <c r="C42" i="18"/>
  <c r="D38" i="18"/>
  <c r="C38" i="18"/>
  <c r="D37" i="18"/>
  <c r="C37" i="18"/>
  <c r="D36" i="18"/>
  <c r="C36" i="18"/>
  <c r="D32" i="18"/>
  <c r="C32" i="18"/>
  <c r="D29" i="18"/>
  <c r="C29" i="18"/>
  <c r="D28" i="18"/>
  <c r="C28" i="18"/>
  <c r="D27" i="18"/>
  <c r="C27" i="18"/>
  <c r="E24" i="18"/>
  <c r="B60" i="7"/>
  <c r="K47" i="23" l="1"/>
  <c r="K9" i="23"/>
  <c r="K39" i="23"/>
  <c r="K49" i="23"/>
  <c r="K16" i="23"/>
  <c r="D75" i="18"/>
  <c r="C23" i="18"/>
  <c r="C163" i="18"/>
  <c r="D163" i="18"/>
  <c r="C25" i="18"/>
  <c r="C24" i="18"/>
  <c r="C181" i="18"/>
  <c r="C75" i="18"/>
  <c r="C16" i="18" s="1"/>
  <c r="C9" i="18" s="1"/>
  <c r="C205" i="18"/>
  <c r="D180" i="18"/>
  <c r="D207" i="18"/>
  <c r="D206" i="18"/>
  <c r="E112" i="18"/>
  <c r="D26" i="18"/>
  <c r="E23" i="18"/>
  <c r="D25" i="18"/>
  <c r="C259" i="18"/>
  <c r="E17" i="18"/>
  <c r="E10" i="18" s="1"/>
  <c r="E294" i="18" s="1"/>
  <c r="C18" i="21"/>
  <c r="C31" i="21" s="1"/>
  <c r="C38" i="21" s="1"/>
  <c r="D24" i="18"/>
  <c r="D23" i="18"/>
  <c r="C35" i="18"/>
  <c r="C41" i="18"/>
  <c r="D47" i="18"/>
  <c r="E77" i="18"/>
  <c r="E18" i="18" s="1"/>
  <c r="E11" i="18" s="1"/>
  <c r="E295" i="18" s="1"/>
  <c r="C26" i="18"/>
  <c r="D35" i="18"/>
  <c r="D74" i="18"/>
  <c r="C112" i="18"/>
  <c r="E16" i="18"/>
  <c r="C78" i="18"/>
  <c r="C47" i="18"/>
  <c r="D259" i="18"/>
  <c r="E41" i="18"/>
  <c r="E259" i="18"/>
  <c r="B46" i="23"/>
  <c r="D46" i="23" s="1"/>
  <c r="E24" i="23"/>
  <c r="G25" i="23"/>
  <c r="K25" i="23" s="1"/>
  <c r="E37" i="23"/>
  <c r="B11" i="23"/>
  <c r="D11" i="23" s="1"/>
  <c r="K11" i="23" s="1"/>
  <c r="D48" i="23"/>
  <c r="E7" i="23"/>
  <c r="G7" i="23" s="1"/>
  <c r="E11" i="23"/>
  <c r="G11" i="23" s="1"/>
  <c r="E29" i="23"/>
  <c r="G29" i="23" s="1"/>
  <c r="G48" i="23"/>
  <c r="B7" i="23"/>
  <c r="B29" i="23"/>
  <c r="D29" i="23" s="1"/>
  <c r="B32" i="23"/>
  <c r="D32" i="23" s="1"/>
  <c r="K32" i="23" s="1"/>
  <c r="G13" i="23"/>
  <c r="K13" i="23" s="1"/>
  <c r="B18" i="23"/>
  <c r="E32" i="23"/>
  <c r="G32" i="23" s="1"/>
  <c r="B37" i="23"/>
  <c r="E46" i="23"/>
  <c r="G46" i="23" s="1"/>
  <c r="B24" i="23"/>
  <c r="B12" i="21"/>
  <c r="B20" i="21"/>
  <c r="B33" i="21"/>
  <c r="B10" i="19"/>
  <c r="D10" i="19" s="1"/>
  <c r="E25" i="18"/>
  <c r="E19" i="18" s="1"/>
  <c r="E12" i="18" s="1"/>
  <c r="E296" i="18" s="1"/>
  <c r="D76" i="18"/>
  <c r="D78" i="18"/>
  <c r="D112" i="18"/>
  <c r="E66" i="18"/>
  <c r="C76" i="18"/>
  <c r="D281" i="18"/>
  <c r="E180" i="18"/>
  <c r="E205" i="18"/>
  <c r="E204" i="18" s="1"/>
  <c r="K48" i="23" l="1"/>
  <c r="K46" i="23"/>
  <c r="K29" i="23"/>
  <c r="C74" i="18"/>
  <c r="D19" i="18"/>
  <c r="D204" i="18"/>
  <c r="D16" i="18"/>
  <c r="C19" i="18"/>
  <c r="C180" i="18"/>
  <c r="C204" i="18"/>
  <c r="C18" i="18"/>
  <c r="D77" i="18"/>
  <c r="C22" i="18"/>
  <c r="D15" i="18"/>
  <c r="D22" i="18"/>
  <c r="E22" i="18"/>
  <c r="C73" i="18"/>
  <c r="E9" i="18"/>
  <c r="E5" i="23"/>
  <c r="E44" i="23" s="1"/>
  <c r="D7" i="23"/>
  <c r="K7" i="23" s="1"/>
  <c r="B5" i="23"/>
  <c r="C17" i="18"/>
  <c r="D17" i="18"/>
  <c r="E74" i="18"/>
  <c r="B638" i="16"/>
  <c r="B634" i="16"/>
  <c r="B633" i="16"/>
  <c r="C631" i="16"/>
  <c r="B627" i="16"/>
  <c r="C622" i="16"/>
  <c r="C621" i="16" s="1"/>
  <c r="B622" i="16"/>
  <c r="C586" i="16"/>
  <c r="C581" i="16" s="1"/>
  <c r="B586" i="16"/>
  <c r="B563" i="16"/>
  <c r="C558" i="16"/>
  <c r="C557" i="16" s="1"/>
  <c r="B558" i="16"/>
  <c r="C548" i="16"/>
  <c r="B548" i="16"/>
  <c r="B544" i="16"/>
  <c r="B543" i="16"/>
  <c r="B539" i="16"/>
  <c r="B538" i="16"/>
  <c r="B529" i="16"/>
  <c r="B528" i="16"/>
  <c r="C517" i="16"/>
  <c r="C502" i="16" s="1"/>
  <c r="B517" i="16"/>
  <c r="C503" i="16"/>
  <c r="B471" i="16"/>
  <c r="B465" i="16" s="1"/>
  <c r="B470" i="16"/>
  <c r="B464" i="16" s="1"/>
  <c r="C465" i="16"/>
  <c r="C464" i="16"/>
  <c r="B449" i="16"/>
  <c r="B446" i="16" s="1"/>
  <c r="C447" i="16"/>
  <c r="B447" i="16"/>
  <c r="C446" i="16"/>
  <c r="C413" i="16"/>
  <c r="B413" i="16"/>
  <c r="C412" i="16"/>
  <c r="B412" i="16"/>
  <c r="B387" i="16"/>
  <c r="C386" i="16"/>
  <c r="C378" i="16" s="1"/>
  <c r="B379" i="16"/>
  <c r="B376" i="16"/>
  <c r="B364" i="16"/>
  <c r="B362" i="16"/>
  <c r="B358" i="16"/>
  <c r="B356" i="16"/>
  <c r="B355" i="16"/>
  <c r="B347" i="16"/>
  <c r="B346" i="16"/>
  <c r="C339" i="16"/>
  <c r="B339" i="16"/>
  <c r="C338" i="16"/>
  <c r="B338" i="16"/>
  <c r="C337" i="16"/>
  <c r="B336" i="16"/>
  <c r="C333" i="16"/>
  <c r="B331" i="16"/>
  <c r="B330" i="16"/>
  <c r="B323" i="16"/>
  <c r="B322" i="16"/>
  <c r="B319" i="16"/>
  <c r="B318" i="16"/>
  <c r="C315" i="16"/>
  <c r="C314" i="16"/>
  <c r="B266" i="16"/>
  <c r="B252" i="16"/>
  <c r="C245" i="16"/>
  <c r="B245" i="16"/>
  <c r="C240" i="16"/>
  <c r="B183" i="16"/>
  <c r="C177" i="16"/>
  <c r="B177" i="16"/>
  <c r="C176" i="16"/>
  <c r="B176" i="16"/>
  <c r="C145" i="16"/>
  <c r="B34" i="16"/>
  <c r="C27" i="16"/>
  <c r="C32" i="16" s="1"/>
  <c r="B581" i="16" l="1"/>
  <c r="B174" i="16"/>
  <c r="D18" i="18"/>
  <c r="D12" i="18"/>
  <c r="D8" i="18"/>
  <c r="D9" i="18"/>
  <c r="B333" i="16"/>
  <c r="C12" i="18"/>
  <c r="C11" i="18"/>
  <c r="C15" i="18"/>
  <c r="C14" i="18" s="1"/>
  <c r="D73" i="18"/>
  <c r="D14" i="18"/>
  <c r="G5" i="23"/>
  <c r="D5" i="23"/>
  <c r="B44" i="23"/>
  <c r="B51" i="23" s="1"/>
  <c r="E51" i="23"/>
  <c r="C10" i="18"/>
  <c r="E73" i="18"/>
  <c r="E15" i="18"/>
  <c r="D292" i="18"/>
  <c r="D296" i="18"/>
  <c r="D10" i="18"/>
  <c r="C615" i="16"/>
  <c r="B626" i="16"/>
  <c r="C174" i="16"/>
  <c r="C209" i="16"/>
  <c r="C214" i="16" s="1"/>
  <c r="C211" i="16" s="1"/>
  <c r="B345" i="16"/>
  <c r="B502" i="16"/>
  <c r="B631" i="16"/>
  <c r="B27" i="16"/>
  <c r="C313" i="16"/>
  <c r="B361" i="16"/>
  <c r="C546" i="16"/>
  <c r="C536" i="16" s="1"/>
  <c r="C534" i="16" s="1"/>
  <c r="B314" i="16"/>
  <c r="B240" i="16"/>
  <c r="C353" i="16"/>
  <c r="C411" i="16"/>
  <c r="C29" i="16"/>
  <c r="B315" i="16"/>
  <c r="B503" i="16"/>
  <c r="B557" i="16"/>
  <c r="B621" i="16"/>
  <c r="B386" i="16"/>
  <c r="B32" i="16" l="1"/>
  <c r="B411" i="16"/>
  <c r="B141" i="16"/>
  <c r="B209" i="16"/>
  <c r="C619" i="16"/>
  <c r="C617" i="16" s="1"/>
  <c r="D11" i="18"/>
  <c r="C8" i="18"/>
  <c r="C7" i="18" s="1"/>
  <c r="K5" i="23"/>
  <c r="D294" i="18"/>
  <c r="D7" i="18"/>
  <c r="E14" i="18"/>
  <c r="E8" i="18"/>
  <c r="E292" i="18" s="1"/>
  <c r="B29" i="16"/>
  <c r="C404" i="16"/>
  <c r="C141" i="16"/>
  <c r="B313" i="16"/>
  <c r="C306" i="16"/>
  <c r="C311" i="16" s="1"/>
  <c r="B546" i="16"/>
  <c r="B214" i="16"/>
  <c r="B378" i="16"/>
  <c r="B615" i="16"/>
  <c r="B146" i="16"/>
  <c r="C146" i="16" l="1"/>
  <c r="C409" i="16"/>
  <c r="D295" i="18"/>
  <c r="E7" i="18"/>
  <c r="D291" i="18"/>
  <c r="C143" i="16"/>
  <c r="C308" i="16"/>
  <c r="B353" i="16"/>
  <c r="B619" i="16"/>
  <c r="B536" i="16"/>
  <c r="B143" i="16"/>
  <c r="B211" i="16"/>
  <c r="C406" i="16" l="1"/>
  <c r="E291" i="18"/>
  <c r="B306" i="16"/>
  <c r="B534" i="16"/>
  <c r="B617" i="16"/>
  <c r="B404" i="16" l="1"/>
  <c r="B311" i="16"/>
  <c r="B308" i="16" l="1"/>
  <c r="B409" i="16"/>
  <c r="D1531" i="16" l="1"/>
  <c r="D1539" i="16"/>
  <c r="D1534" i="16"/>
  <c r="B406" i="16"/>
  <c r="B1539" i="16" l="1"/>
  <c r="B1534" i="16"/>
  <c r="B1532" i="16"/>
  <c r="E1535" i="16"/>
  <c r="D1536" i="16"/>
  <c r="D1532" i="16"/>
  <c r="E1532" i="16"/>
  <c r="C1532" i="16"/>
  <c r="B1535" i="16"/>
  <c r="D1535" i="16"/>
  <c r="B1531" i="16"/>
  <c r="C1531" i="16"/>
  <c r="C1535" i="16"/>
  <c r="C1539" i="16"/>
  <c r="E1531" i="16"/>
  <c r="E1534" i="16"/>
  <c r="B1536" i="16"/>
  <c r="E1536" i="16"/>
  <c r="C1534" i="16"/>
  <c r="C1536" i="16"/>
  <c r="E1539" i="16"/>
  <c r="D1540" i="16" l="1"/>
  <c r="E1540" i="16"/>
  <c r="C1540" i="16"/>
  <c r="B1540" i="16"/>
  <c r="C79" i="7"/>
  <c r="C71" i="7"/>
  <c r="E71" i="7" s="1"/>
  <c r="C61" i="7"/>
  <c r="C54" i="7"/>
  <c r="C42" i="7"/>
  <c r="C29" i="7"/>
  <c r="C13" i="7"/>
  <c r="E13" i="7" s="1"/>
  <c r="C5" i="7"/>
  <c r="C45" i="7" l="1"/>
  <c r="E45" i="7" s="1"/>
  <c r="E54" i="7"/>
  <c r="C60" i="7"/>
  <c r="E60" i="7" s="1"/>
  <c r="E61" i="7"/>
  <c r="C12" i="7"/>
  <c r="C68" i="7"/>
  <c r="C41" i="7"/>
  <c r="C32" i="7" s="1"/>
  <c r="C4" i="7"/>
  <c r="C11" i="7"/>
  <c r="C26" i="7"/>
  <c r="C82" i="7" l="1"/>
  <c r="C87" i="12" l="1"/>
  <c r="C96" i="12"/>
  <c r="C93" i="12"/>
  <c r="B6" i="12"/>
  <c r="B4" i="12" s="1"/>
  <c r="B17" i="12"/>
  <c r="B19" i="12"/>
  <c r="B25" i="12"/>
  <c r="B35" i="12"/>
  <c r="B41" i="12"/>
  <c r="B49" i="12"/>
  <c r="B57" i="12"/>
  <c r="B62" i="12"/>
  <c r="B69" i="12"/>
  <c r="B75" i="12"/>
  <c r="B79" i="12"/>
  <c r="B83" i="12"/>
  <c r="B87" i="12"/>
  <c r="C99" i="12" l="1"/>
  <c r="B23" i="12"/>
  <c r="B82" i="12"/>
  <c r="B16" i="12"/>
  <c r="B73" i="12" l="1"/>
  <c r="B12" i="12"/>
  <c r="B22" i="12"/>
  <c r="B99" i="12" s="1"/>
  <c r="B42" i="7" l="1"/>
  <c r="E42" i="7" s="1"/>
  <c r="B57" i="7"/>
  <c r="E57" i="7" s="1"/>
  <c r="B34" i="7"/>
  <c r="E34" i="7" s="1"/>
  <c r="B29" i="7"/>
  <c r="E29" i="7" s="1"/>
  <c r="B27" i="7"/>
  <c r="E27" i="7" s="1"/>
  <c r="B21" i="7"/>
  <c r="E21" i="7" s="1"/>
  <c r="B18" i="7"/>
  <c r="E18" i="7" s="1"/>
  <c r="B15" i="7"/>
  <c r="E15" i="7" s="1"/>
  <c r="B12" i="7"/>
  <c r="E12" i="7" s="1"/>
  <c r="B8" i="7"/>
  <c r="E8" i="7" s="1"/>
  <c r="B5" i="7"/>
  <c r="B69" i="7"/>
  <c r="E69" i="7" s="1"/>
  <c r="B79" i="7"/>
  <c r="E79" i="7" s="1"/>
  <c r="B4" i="7" l="1"/>
  <c r="E4" i="7" s="1"/>
  <c r="E5" i="7"/>
  <c r="B26" i="7"/>
  <c r="E26" i="7" s="1"/>
  <c r="B41" i="7"/>
  <c r="E41" i="7" s="1"/>
  <c r="B68" i="7"/>
  <c r="E68" i="7" s="1"/>
  <c r="B56" i="7"/>
  <c r="E56" i="7" s="1"/>
  <c r="B11" i="7"/>
  <c r="E11" i="7" s="1"/>
  <c r="B32" i="7" l="1"/>
  <c r="E32" i="7" s="1"/>
  <c r="B82" i="7"/>
  <c r="E82" i="7" s="1"/>
  <c r="B2" i="15" l="1"/>
  <c r="B19" i="15" l="1"/>
  <c r="B20" i="15" s="1"/>
  <c r="C40" i="23" l="1"/>
  <c r="C22" i="23"/>
  <c r="D22" i="23" s="1"/>
  <c r="F27" i="23"/>
  <c r="C27" i="23"/>
  <c r="G20" i="23"/>
  <c r="C20" i="23"/>
  <c r="D20" i="23" s="1"/>
  <c r="G21" i="23"/>
  <c r="C21" i="23"/>
  <c r="D21" i="23" s="1"/>
  <c r="K21" i="23" s="1"/>
  <c r="F40" i="23"/>
  <c r="G22" i="23"/>
  <c r="K20" i="23" l="1"/>
  <c r="K22" i="23"/>
  <c r="D27" i="23"/>
  <c r="K27" i="23" s="1"/>
  <c r="C24" i="23"/>
  <c r="D24" i="23" s="1"/>
  <c r="F18" i="23"/>
  <c r="G19" i="23"/>
  <c r="G40" i="23"/>
  <c r="F37" i="23"/>
  <c r="G37" i="23" s="1"/>
  <c r="F24" i="23"/>
  <c r="G24" i="23" s="1"/>
  <c r="G27" i="23"/>
  <c r="C37" i="23"/>
  <c r="D37" i="23" s="1"/>
  <c r="D40" i="23"/>
  <c r="K40" i="23" s="1"/>
  <c r="K37" i="23" l="1"/>
  <c r="K24" i="23"/>
  <c r="F44" i="23"/>
  <c r="G18" i="23"/>
  <c r="F51" i="23" l="1"/>
  <c r="G51" i="23" s="1"/>
  <c r="G44" i="23"/>
  <c r="C19" i="23" l="1"/>
  <c r="D19" i="23" l="1"/>
  <c r="K19" i="23" s="1"/>
  <c r="C18" i="23"/>
  <c r="C44" i="23" l="1"/>
  <c r="C51" i="23" s="1"/>
  <c r="D51" i="23" s="1"/>
  <c r="K51" i="23" s="1"/>
  <c r="D18" i="23"/>
  <c r="K18" i="23" s="1"/>
  <c r="B10" i="21"/>
  <c r="D44" i="23" l="1"/>
  <c r="K44" i="23" s="1"/>
  <c r="B8" i="21"/>
  <c r="B5" i="21" l="1"/>
  <c r="B18" i="21" l="1"/>
  <c r="B31" i="21" l="1"/>
  <c r="B38" i="21" l="1"/>
  <c r="D23" i="22" l="1"/>
  <c r="D22" i="22" s="1"/>
  <c r="D71" i="22" l="1"/>
  <c r="D30" i="22"/>
  <c r="D34" i="22" l="1"/>
</calcChain>
</file>

<file path=xl/sharedStrings.xml><?xml version="1.0" encoding="utf-8"?>
<sst xmlns="http://schemas.openxmlformats.org/spreadsheetml/2006/main" count="2628" uniqueCount="1113">
  <si>
    <t>botaanikaaia piletitulu</t>
  </si>
  <si>
    <t>muud botaanikaaia tasulised teenused</t>
  </si>
  <si>
    <t>14. Linnaplaneerimise Amet</t>
  </si>
  <si>
    <t>15. Haabersti Linnaosa Valitsuse haldusala</t>
  </si>
  <si>
    <t>15.1. Haabersti Linnaosa Valitsus</t>
  </si>
  <si>
    <t>kliendi osalustasu koduteenuste osutamisel</t>
  </si>
  <si>
    <t>linnarajatiste reklaamitulu</t>
  </si>
  <si>
    <t>15.2. Haabersti Vaba Aja Keskus</t>
  </si>
  <si>
    <t>15.3. Haabersti Sotsiaalkeskus</t>
  </si>
  <si>
    <t>huviringi osalustasu</t>
  </si>
  <si>
    <t>* Eelarve täitmisel on linnavalitsusel õigus muuta summade jaotust ülelinnaliste kultuuriürituste üldsumma piires.</t>
  </si>
  <si>
    <t>toetused riigilt ja muudelt institutsioonidelt</t>
  </si>
  <si>
    <t>TOETUSED</t>
  </si>
  <si>
    <t>investeeringuteks</t>
  </si>
  <si>
    <t>Välisrahastus kokku</t>
  </si>
  <si>
    <t>Kommunaalamet</t>
  </si>
  <si>
    <t>Toetused kokku</t>
  </si>
  <si>
    <r>
      <t xml:space="preserve">sh </t>
    </r>
    <r>
      <rPr>
        <u/>
        <sz val="10"/>
        <rFont val="Arial"/>
        <family val="2"/>
        <charset val="186"/>
      </rPr>
      <t>tegevuskuludeks</t>
    </r>
  </si>
  <si>
    <t>Vene Kultuurikeskusele eesti keele süvaõppe jätkamiseks venekeelsete koolide ja lasteaedade pedagoogidele</t>
  </si>
  <si>
    <t>Sunniraha</t>
  </si>
  <si>
    <t>Muud erakorralised tulud</t>
  </si>
  <si>
    <t>Müüdud vara jääkmaksumus</t>
  </si>
  <si>
    <t>Linnaosa valitsuse reservfond</t>
  </si>
  <si>
    <t>Mustamäe Linnaosa Valitsuse haldusala</t>
  </si>
  <si>
    <t>Sotsiaalabi osutamine juhtumikorralduse põhimõttel</t>
  </si>
  <si>
    <t>Nõmme Linnaosa Valitsuse haldusala</t>
  </si>
  <si>
    <t>Pirita Linnaosa Valitsuse haldusala</t>
  </si>
  <si>
    <t>Põhja-Tallinna Valitsuse haldusala</t>
  </si>
  <si>
    <t>Sotsiaaltoetused</t>
  </si>
  <si>
    <t>Linna üldkulud</t>
  </si>
  <si>
    <t>Linna rahahaldusega seotud finantskulud (a)</t>
  </si>
  <si>
    <t>linnavalitsuse reservfond</t>
  </si>
  <si>
    <t>kohtuvaidluste ja muude õiguslike vaidlustega seotud nõuete reserv</t>
  </si>
  <si>
    <t>linna vara ja kohustustega seonduvate toimingute reserv</t>
  </si>
  <si>
    <t>noortekeskuse muud tasulised teenused</t>
  </si>
  <si>
    <t>jäätmeveo teenustasu</t>
  </si>
  <si>
    <t>laste toitlustamine päevakeskustes</t>
  </si>
  <si>
    <t>Linnavolikogu Kantselei</t>
  </si>
  <si>
    <t>Visioonikonverents</t>
  </si>
  <si>
    <t>Ravikindlustusega hõlmamata isikute ravikulud (a)</t>
  </si>
  <si>
    <t>Liikmemaksud (a)</t>
  </si>
  <si>
    <t>Rahuliku kooselamise programm</t>
  </si>
  <si>
    <t>Kesklinna videovalve</t>
  </si>
  <si>
    <t>Turvalisuse projektid</t>
  </si>
  <si>
    <t>Endiste linnapeade toetus (a)</t>
  </si>
  <si>
    <t>Mittetulundustegevuse toetamine</t>
  </si>
  <si>
    <t>reservid, sh</t>
  </si>
  <si>
    <t>Riigi ja muude institutsioonide toetuste arvelt tehtavad kulud (a; ü)</t>
  </si>
  <si>
    <t>toetus korteriühistutele energiamärgise taotlemiseks (a)</t>
  </si>
  <si>
    <t>heakorrakuu</t>
  </si>
  <si>
    <t>grafiti eemaldamine</t>
  </si>
  <si>
    <t>Tallinna Õpetajate Maja</t>
  </si>
  <si>
    <t>Kultuuriväärtuslike objektide täiendav tähistamine ja tutvustavate tekstide lisamine</t>
  </si>
  <si>
    <t>Hingedepäeva kontsert</t>
  </si>
  <si>
    <t>Jõulukontsert</t>
  </si>
  <si>
    <t>Birgitta festival</t>
  </si>
  <si>
    <t>Talveöö unenägu</t>
  </si>
  <si>
    <t>Toetus SA-le Tallinna Vene Muuseum</t>
  </si>
  <si>
    <t>Tallinna meistrivõistlused</t>
  </si>
  <si>
    <t>Noorsportlaste terviseuuringud</t>
  </si>
  <si>
    <t>Transporditeenused (a)</t>
  </si>
  <si>
    <t>Viipekeeleteenus</t>
  </si>
  <si>
    <t>Isikliku abistaja teenused</t>
  </si>
  <si>
    <t>Töö- ja rakenduskeskuse teenused</t>
  </si>
  <si>
    <t>Nõustamisteenused</t>
  </si>
  <si>
    <t>Eaka inimese perekonda toetavad teenused</t>
  </si>
  <si>
    <t>Psühholoogiline nõustamine</t>
  </si>
  <si>
    <t>Perekonda toetavad teenused</t>
  </si>
  <si>
    <t>Hooldamine perekonnas</t>
  </si>
  <si>
    <t>Sotsiaalselt tundlike sihtgruppide rehabilitatsiooniteenused</t>
  </si>
  <si>
    <t>Kodutute öömaja- ja varjupaigateenused</t>
  </si>
  <si>
    <t>Supiköögiteenused</t>
  </si>
  <si>
    <t>Õigusalane nõustamine</t>
  </si>
  <si>
    <t>Toimetulekut soodustavad teenused</t>
  </si>
  <si>
    <t>Kriisiabi</t>
  </si>
  <si>
    <t>Puuetega inimeste hooldajatoetus (a)</t>
  </si>
  <si>
    <t>Sotsiaalvalve teenus</t>
  </si>
  <si>
    <t>Laste visiiditasust vabastamine</t>
  </si>
  <si>
    <t>Kainestusmaja haldamine</t>
  </si>
  <si>
    <t>ohtlike ja linnapilti risustavate hoonete lammutamine</t>
  </si>
  <si>
    <t>korteriühistute infopunkt</t>
  </si>
  <si>
    <t>korteriühistute toetus (a)</t>
  </si>
  <si>
    <t>Ettevõtluskeskkonna turundus</t>
  </si>
  <si>
    <t>Tööhõive tagamine</t>
  </si>
  <si>
    <t>Tootegrupp: tarbija- ja hinnapoliitika</t>
  </si>
  <si>
    <t>Tarbijakaitse</t>
  </si>
  <si>
    <t>uute töökohtade loomise toetus</t>
  </si>
  <si>
    <t>Sihtotstarbeline toetus sotsiaalsete töökohtade loomiseks</t>
  </si>
  <si>
    <t>Toetus SA-le Tallinna Lauluväljak</t>
  </si>
  <si>
    <t>Toetus SA-le Tallinna Televisioon</t>
  </si>
  <si>
    <t>Toetus MTÜ-le Eesti Konverentsibüroo</t>
  </si>
  <si>
    <t>Ühistranspordi uuringud ja projektid</t>
  </si>
  <si>
    <t>muud uuringud ja projektid</t>
  </si>
  <si>
    <t>Teeregister</t>
  </si>
  <si>
    <t>tulekustutusvee tasud ja tuletõrjehüdrantide hoolduskulud</t>
  </si>
  <si>
    <t>Tallinna ühisveevärgi ja -kanalisatsiooni arendamise kava</t>
  </si>
  <si>
    <t>jalgrattaparklad</t>
  </si>
  <si>
    <t>Tootegrupp: kalmistud</t>
  </si>
  <si>
    <t>Tootegrupp: jäätmemajandus</t>
  </si>
  <si>
    <t>lastemänguväljakute hooldus</t>
  </si>
  <si>
    <t>Keskkonnaprogrammid (ü)</t>
  </si>
  <si>
    <t>Õppekava toetav loodusõpe Tallinna Botaanikaaias</t>
  </si>
  <si>
    <t>16. Tallinna Kesklinna Valitsuse haldusala</t>
  </si>
  <si>
    <t>16.1. Tallinna Kesklinna Valitsus</t>
  </si>
  <si>
    <t>17. Kristiine Linnaosa Valitsuse haldusala</t>
  </si>
  <si>
    <t>17.1. Kristiine Linnaosa Valitsus</t>
  </si>
  <si>
    <t>muu reklaamitulu</t>
  </si>
  <si>
    <t>18. Lasnamäe Linnaosa Valitsuse haldusala</t>
  </si>
  <si>
    <t>18.1. Lasnamäe Linnaosa Valitsus</t>
  </si>
  <si>
    <t>18.2. Lasnamäe Spordikompleks</t>
  </si>
  <si>
    <t>18.3. Kultuurikeskus Lindakivi</t>
  </si>
  <si>
    <t>18.4. Lasnamäe Sotsiaalkeskus</t>
  </si>
  <si>
    <t>19. Mustamäe Linnaosa Valitsuse haldusala</t>
  </si>
  <si>
    <t>19.1. Mustamäe Linnaosa Valitsus</t>
  </si>
  <si>
    <t>hoolekandeasutuse ruumide kasutamine üritusteks</t>
  </si>
  <si>
    <t>20. Nõmme Linnaosa Valitsuse haldusala</t>
  </si>
  <si>
    <t>20.1. Nõmme Linnaosa Valitsus</t>
  </si>
  <si>
    <t>muuseumi piletitulu</t>
  </si>
  <si>
    <t>muuseumi muu teenus</t>
  </si>
  <si>
    <t>20.2. Nõmme Kultuurikeskus</t>
  </si>
  <si>
    <t>koduteenuste tasu</t>
  </si>
  <si>
    <t>21. Pirita Linnaosa Valitsuse haldusala</t>
  </si>
  <si>
    <t>21.1. Pirita Linnaosa Valitsus</t>
  </si>
  <si>
    <t>21.2. Pirita Vaba Aja Keskus</t>
  </si>
  <si>
    <t>muud päevakeskuse teenused</t>
  </si>
  <si>
    <t>22. Põhja-Tallinna Valitsuse haldusala</t>
  </si>
  <si>
    <t>22.1. Põhja-Tallinna Valitsus</t>
  </si>
  <si>
    <t>22.2. Põhja-Tallinna Sotsiaalkeskus</t>
  </si>
  <si>
    <t>22.3. Paljassaare Sotsiaalmaja</t>
  </si>
  <si>
    <t>22.4. Salme Kultuurikeskus</t>
  </si>
  <si>
    <t>KOKKU OMATULUD</t>
  </si>
  <si>
    <t>Tulud majandustegevusest</t>
  </si>
  <si>
    <t>Võlalt arvestatud intressitulu</t>
  </si>
  <si>
    <t>KOKKU</t>
  </si>
  <si>
    <t>€</t>
  </si>
  <si>
    <t>Riiklikud maksud</t>
  </si>
  <si>
    <t>Kohalikud maksud</t>
  </si>
  <si>
    <t>Lõivud</t>
  </si>
  <si>
    <t>Muud tulud</t>
  </si>
  <si>
    <t>Finantstulu</t>
  </si>
  <si>
    <t>Vara müügi kulud</t>
  </si>
  <si>
    <t>Muud tulud varalt</t>
  </si>
  <si>
    <t>Dividendid</t>
  </si>
  <si>
    <t>Toetused riigilt ja muudelt institutsioonidelt</t>
  </si>
  <si>
    <t>Linnakassa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</si>
  <si>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</si>
  <si>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</si>
  <si>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</si>
  <si>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</si>
  <si>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</si>
  <si>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</si>
  <si>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</si>
  <si>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välisrahastus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</si>
  <si>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</si>
  <si>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</si>
  <si>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</si>
  <si>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</si>
  <si>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</si>
  <si>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</si>
  <si>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</si>
  <si>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</si>
  <si>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Keskkonnaamet</t>
  </si>
  <si>
    <t>Munitsipaalpolitsei Amet</t>
  </si>
  <si>
    <t>Sotsiaal- ja Tervishoiuameti haldusala</t>
  </si>
  <si>
    <t>Tulu vara müügist</t>
  </si>
  <si>
    <t>Kultuuriväärtuste Ameti haldusala</t>
  </si>
  <si>
    <t>Võlalt arvestatud tulu</t>
  </si>
  <si>
    <t xml:space="preserve">Linnakantselei </t>
  </si>
  <si>
    <t>Kulud kokku</t>
  </si>
  <si>
    <t xml:space="preserve">Katteallikad </t>
  </si>
  <si>
    <t>sh omatulud</t>
  </si>
  <si>
    <t>linnakassa</t>
  </si>
  <si>
    <t>Muud eelarvepositsioonid</t>
  </si>
  <si>
    <t>sellest töötasu</t>
  </si>
  <si>
    <t>Tootegrupp: arhiiviteenused</t>
  </si>
  <si>
    <t>Perekonnaseisuamet</t>
  </si>
  <si>
    <t>Tootegrupp: perekonnaseisuteenused</t>
  </si>
  <si>
    <t>Haridusameti haldusala</t>
  </si>
  <si>
    <t>Tootevaldkond: haridus</t>
  </si>
  <si>
    <t>Toode:</t>
  </si>
  <si>
    <t>Tootegrupp: hariduse tugiteenused</t>
  </si>
  <si>
    <t>Lasnamäe Lastekeskus</t>
  </si>
  <si>
    <t>Haridusalased tugiteenused</t>
  </si>
  <si>
    <t>IKT keskkond</t>
  </si>
  <si>
    <t>välisrahastuse arvelt</t>
  </si>
  <si>
    <t>ps amortisatsioon</t>
  </si>
  <si>
    <t>Tootevaldkond: kultuur</t>
  </si>
  <si>
    <t>Kultuuriväärtuste Amet</t>
  </si>
  <si>
    <t>Olulisemad üritused:</t>
  </si>
  <si>
    <t>Tallinna päev</t>
  </si>
  <si>
    <t>Taasiseseisvumise aastapäev</t>
  </si>
  <si>
    <t>Spordi- ja Noorsooameti haldusala</t>
  </si>
  <si>
    <t>Tootevaldkond: sport ja vaba aeg</t>
  </si>
  <si>
    <t>Tootegrupp: sportimisvõimaluste tagamine</t>
  </si>
  <si>
    <t>Tootegrupp: sporditegevuse toetamine</t>
  </si>
  <si>
    <t>Tootevaldkond: noorsootöö</t>
  </si>
  <si>
    <t>Tootegrupp: noorsootöö</t>
  </si>
  <si>
    <t>Spordi- ja Noorsooamet</t>
  </si>
  <si>
    <t>Eraspordibaaside toetus</t>
  </si>
  <si>
    <t>Spordiprojektide toetus</t>
  </si>
  <si>
    <t>Noorsootööprogrammid ja -projektid</t>
  </si>
  <si>
    <t>Tootevaldkond: sotsiaalhoolekanne</t>
  </si>
  <si>
    <t>Tootegrupp: puuetega isikute hoolekanne</t>
  </si>
  <si>
    <t>Puudega inimese perekonda toetavad teenused</t>
  </si>
  <si>
    <t>Tootegrupp: eakate hoolekanne</t>
  </si>
  <si>
    <t>Tootegrupp: laste hoolekanne</t>
  </si>
  <si>
    <t xml:space="preserve"> Imiku hoolduspakid (a)</t>
  </si>
  <si>
    <t>Tootegrupp: muude kriisirühmade hoolekanne</t>
  </si>
  <si>
    <t>Vältimatu sotsiaalabi</t>
  </si>
  <si>
    <t>Sotsiaal- ja Tervishoiuamet</t>
  </si>
  <si>
    <t>Toetused lastele ja peredele (a)</t>
  </si>
  <si>
    <t>Toetused eakatele</t>
  </si>
  <si>
    <t>teenustasu Eesti Postile</t>
  </si>
  <si>
    <t>muu mittetulundustegevuse toetamine</t>
  </si>
  <si>
    <t>Tallinna Kiirabi</t>
  </si>
  <si>
    <t>Mitmesugused tervishoiukulud</t>
  </si>
  <si>
    <t xml:space="preserve">õendusabi korraldamine </t>
  </si>
  <si>
    <t>Noorte nõustamiskeskuste haldamine</t>
  </si>
  <si>
    <t>Tootevaldkond: linnamajandus</t>
  </si>
  <si>
    <t>Tootegrupp: elamumajandus</t>
  </si>
  <si>
    <t>Elamute majandamine</t>
  </si>
  <si>
    <t>Elamumajanduse muud kulud</t>
  </si>
  <si>
    <t>Loopealse elurajooni üürimaksed</t>
  </si>
  <si>
    <t>Raadiku elurajooni üürimaksed</t>
  </si>
  <si>
    <t>Tootevaldkond: ettevõtluskeskkond</t>
  </si>
  <si>
    <t>Tootegrupp: ettevõtluse arendamine</t>
  </si>
  <si>
    <t>Väikeettevõtlus</t>
  </si>
  <si>
    <t>Tootegrupp: turismi arendamine</t>
  </si>
  <si>
    <t>Konverentsiturism</t>
  </si>
  <si>
    <t>Kultuuriturism</t>
  </si>
  <si>
    <t>Turismiturundus</t>
  </si>
  <si>
    <t>Turismiinfoteenused</t>
  </si>
  <si>
    <t>Turismiinfrastruktuuri ja teenuste kvaliteedi arendus</t>
  </si>
  <si>
    <t>Statistika ja uuringud</t>
  </si>
  <si>
    <t>Ettevõtluse haldus</t>
  </si>
  <si>
    <t>praktikajuhendaja toetus</t>
  </si>
  <si>
    <t>messitoetus</t>
  </si>
  <si>
    <t>Tootevaldkond: linnatransport</t>
  </si>
  <si>
    <t>Tootegrupp: ühistransport</t>
  </si>
  <si>
    <t>Piletimajandus</t>
  </si>
  <si>
    <t>Eelarvepositsioon</t>
  </si>
  <si>
    <t>Liiniveo infosüsteemid</t>
  </si>
  <si>
    <t>Tootegrupp: parkimiskorraldus</t>
  </si>
  <si>
    <t>ühistranspordi ootepaviljonide hooldus</t>
  </si>
  <si>
    <t>ühistranspordi peatuste info</t>
  </si>
  <si>
    <t>Muud linnatranspordi kulud</t>
  </si>
  <si>
    <t>sadamate haldus</t>
  </si>
  <si>
    <t>Kommunaalameti haldusala</t>
  </si>
  <si>
    <t>sh linnakassa</t>
  </si>
  <si>
    <t>Teerajatiste korrashoid</t>
  </si>
  <si>
    <t>Teerajatiste puhastamine</t>
  </si>
  <si>
    <t>Vetelpääste avalikes supelrandades</t>
  </si>
  <si>
    <t>Jalakäijate tunnelite hooldus</t>
  </si>
  <si>
    <t>Keskkonnaameti haldusala</t>
  </si>
  <si>
    <t>Tootevaldkond: heakord</t>
  </si>
  <si>
    <t>Tootegrupp: haljastus</t>
  </si>
  <si>
    <t>Tootevaldkond: muud kommunaalkulud</t>
  </si>
  <si>
    <t>Pääsküla prügila monitooring</t>
  </si>
  <si>
    <t>Haabersti Linnaosa Valitsuse haldusala</t>
  </si>
  <si>
    <t>Tootegrupp: toimetulekuraskustes isikute hoolekanne</t>
  </si>
  <si>
    <t>Linnaosa valitsus</t>
  </si>
  <si>
    <t>Muud heakorrakulud</t>
  </si>
  <si>
    <t>Tallinna Kesklinna Valitsuse haldusala</t>
  </si>
  <si>
    <t>Tallinna kinnisvararegister</t>
  </si>
  <si>
    <t>Üksikkorterite majandamine</t>
  </si>
  <si>
    <t>Äriruumide majandamine</t>
  </si>
  <si>
    <t>Kristiine Linnaosa Valitsuse haldusala</t>
  </si>
  <si>
    <t>Koduteenused</t>
  </si>
  <si>
    <t>Lasnamäe Linnaosa Valitsuse haldusala</t>
  </si>
  <si>
    <t>OMATULUD</t>
  </si>
  <si>
    <t>1. Linnavolikogu Kantselei</t>
  </si>
  <si>
    <t>Üür ja rent</t>
  </si>
  <si>
    <t>äriruumide üüritulu</t>
  </si>
  <si>
    <t>kommunaalteenused</t>
  </si>
  <si>
    <t xml:space="preserve">2. Linnakantselei </t>
  </si>
  <si>
    <t>Muu toodete ja teenuste müük</t>
  </si>
  <si>
    <t>finantsteenused</t>
  </si>
  <si>
    <t>muud eespoolnimetamata tulud majandustegevusest</t>
  </si>
  <si>
    <t>3. Linnaarhiiv</t>
  </si>
  <si>
    <t>Tulud tugiteenustest</t>
  </si>
  <si>
    <t>teenused</t>
  </si>
  <si>
    <t>4. Perekonnaseisuamet</t>
  </si>
  <si>
    <t>5. Haridusameti haldusala</t>
  </si>
  <si>
    <t>5.1. Haridusamet</t>
  </si>
  <si>
    <t xml:space="preserve">Tulud haridusalasest tegevusest </t>
  </si>
  <si>
    <t>teistelt kohalikelt omavalitsustelt koolide ja koolieelsete lasteasutuste tegevuskulude katteks</t>
  </si>
  <si>
    <t>Tulud kultuuri- ja kunstialasest tegevusest</t>
  </si>
  <si>
    <t>Tulud spordi- ja puhkealasest tegevusest</t>
  </si>
  <si>
    <t>muu vara üür ja rent</t>
  </si>
  <si>
    <t>muu tulu majandustegevusest</t>
  </si>
  <si>
    <t>5.2. Koolieelsed lasteasutused</t>
  </si>
  <si>
    <t>koolieelse lasteasutuse toitlustustasu</t>
  </si>
  <si>
    <t>koolieelse lasteasutuse kohatasu</t>
  </si>
  <si>
    <t>haridusasutuse ruumide kasutamine üritusteks</t>
  </si>
  <si>
    <t>5.3. Põhikoolid ja gümnaasiumid</t>
  </si>
  <si>
    <t>koolitoidutasu</t>
  </si>
  <si>
    <t>tehniliste vahendite ja inventari laenutamine</t>
  </si>
  <si>
    <t>muud tasulised teenused</t>
  </si>
  <si>
    <t>noortelaagri teenused</t>
  </si>
  <si>
    <t>piletitulu</t>
  </si>
  <si>
    <t>noortekeskuse ruumide kasutamise teenus</t>
  </si>
  <si>
    <t>õppetasu</t>
  </si>
  <si>
    <t>muusikamaja ruumide kasutamine</t>
  </si>
  <si>
    <t>muusikamaja muud teenused</t>
  </si>
  <si>
    <t>müügitulu</t>
  </si>
  <si>
    <t>6.2. Tallinna Keskraamatukogu</t>
  </si>
  <si>
    <t>kultuuriasutuse ruumide kasutamine üritusteks</t>
  </si>
  <si>
    <t>Eespool nimetamata muud tulud</t>
  </si>
  <si>
    <t>6.3. Tallinna Pelgulinna Rahvamaja</t>
  </si>
  <si>
    <t>ringitasu</t>
  </si>
  <si>
    <t>kultuuriasutuse muu teenus</t>
  </si>
  <si>
    <t>Õiguste müük</t>
  </si>
  <si>
    <t>tulu parkimisest</t>
  </si>
  <si>
    <t>reklaamitulu</t>
  </si>
  <si>
    <t>muu müügitulu</t>
  </si>
  <si>
    <t>ruumide kasutamine üritusteks</t>
  </si>
  <si>
    <t>Elamu- ja kommunaaltegevuse tulud</t>
  </si>
  <si>
    <t>eluruumide üüritulu</t>
  </si>
  <si>
    <t>8. Sotsiaal- ja Tervishoiuameti haldusala</t>
  </si>
  <si>
    <t>8.1. Sotsiaal- ja Tervishoiuamet</t>
  </si>
  <si>
    <t>Tulud muudelt majandusaladelt</t>
  </si>
  <si>
    <t>8.2. Päevakeskus Käo</t>
  </si>
  <si>
    <t>Tulud sotsiaalabialasest tegevusest</t>
  </si>
  <si>
    <t>hooldustasu</t>
  </si>
  <si>
    <t>toitlustustasu</t>
  </si>
  <si>
    <t>õppekulude tasu</t>
  </si>
  <si>
    <t>8.3. Tallinna Lastekodu</t>
  </si>
  <si>
    <t>8.5. Iru Hooldekodu</t>
  </si>
  <si>
    <t>8.6. Tallinna Tugikeskus Juks</t>
  </si>
  <si>
    <t>majutusteenus</t>
  </si>
  <si>
    <t>8.7. Tallinna Sotsiaaltöö Keskus</t>
  </si>
  <si>
    <t>pesupesemisteenus</t>
  </si>
  <si>
    <t>Tulud tervishoiualasest tegevusest</t>
  </si>
  <si>
    <t>9. Linnavaraamet</t>
  </si>
  <si>
    <t>sotsiaalmajutusüksuse kohatasu</t>
  </si>
  <si>
    <t>sotsiaalmajutusüksuse saunateenus</t>
  </si>
  <si>
    <t>10.1. Ettevõtlusamet</t>
  </si>
  <si>
    <t>tulu kaubandustegevusest</t>
  </si>
  <si>
    <t>10.2. Tallinna Turud</t>
  </si>
  <si>
    <t>tulu müügipiletite realiseerimisest</t>
  </si>
  <si>
    <t>11. Transpordiamet</t>
  </si>
  <si>
    <t>Tulud transporditeenustest</t>
  </si>
  <si>
    <t>tulu koolibussi teenuse osutamisest teistele valdadele</t>
  </si>
  <si>
    <t>veetranspordi piletitulu</t>
  </si>
  <si>
    <t>12. Kommunaalameti haldusala</t>
  </si>
  <si>
    <t>12.1. Kommunaalamet</t>
  </si>
  <si>
    <t>veoseloa tasu</t>
  </si>
  <si>
    <t>kindlustushüvitised</t>
  </si>
  <si>
    <t>12.2. Kadrioru Park</t>
  </si>
  <si>
    <t>haljastusteenused</t>
  </si>
  <si>
    <t>13. Keskkonnaameti haldusala</t>
  </si>
  <si>
    <t>13.1. Keskkonnaamet</t>
  </si>
  <si>
    <t>Tulu keskkonnaalasest tegevusest</t>
  </si>
  <si>
    <t>tasu jäätmete vastuvõtmise eest jäätmejaamas</t>
  </si>
  <si>
    <t>13.2. Tallinna Kalmistud</t>
  </si>
  <si>
    <t>kalmistuteenused</t>
  </si>
  <si>
    <t>13.3. Tallinna Botaanikaaed</t>
  </si>
  <si>
    <t>ametikooli õppetasu</t>
  </si>
  <si>
    <t>hoolekande muud teenused</t>
  </si>
  <si>
    <t>20.4. Nõmme Sotsiaalmaja</t>
  </si>
  <si>
    <t>Toetus SA-le Tallinna Kultuurikatel</t>
  </si>
  <si>
    <t>Kristjan Raua kunstipreemia</t>
  </si>
  <si>
    <t>Rahvusvaheline Rahvuskultuuride Ühenduste Liit Lüüra</t>
  </si>
  <si>
    <t>Vana Baskini Teater OÜ</t>
  </si>
  <si>
    <t>Tallinna teeneka kultuuritegelase preemia</t>
  </si>
  <si>
    <t>Kopli Arenduskeskus</t>
  </si>
  <si>
    <t>Rahvaküsitlused</t>
  </si>
  <si>
    <t>Toetus MTÜ-le AIDSi Tugikeskus uimastiennetustegevuseks</t>
  </si>
  <si>
    <t>Tegevustoetus Sotsiaalrehabilitatsiooni Keskusele Loksa</t>
  </si>
  <si>
    <t>Ülelinnalised kultuuriüritused ja -projektid*</t>
  </si>
  <si>
    <t>sellest Tallinna Grand Prix ja publikupreemia</t>
  </si>
  <si>
    <t>Tallinna linna stipendium (Estonian Business School)</t>
  </si>
  <si>
    <t>Spordiklubi LiVal Sport</t>
  </si>
  <si>
    <t>Tallinna Merepäevad</t>
  </si>
  <si>
    <t>Hiina uusaasta</t>
  </si>
  <si>
    <t>Uimastiennetustegevus SA-s Tallinna Lastehaigla</t>
  </si>
  <si>
    <t>elamumajandusprojektide toetamine</t>
  </si>
  <si>
    <t>Tallinna Energiaagentuur</t>
  </si>
  <si>
    <t>7.1. Tallinna Spordi- ja Noorsooamet</t>
  </si>
  <si>
    <t>7.2. Pirita Spordikeskus</t>
  </si>
  <si>
    <t>7.3. Tallinna Spordihall</t>
  </si>
  <si>
    <t>7.4. Kadrioru Staadion</t>
  </si>
  <si>
    <t>toetus Tallinna Vee-ettevõtjate Järelevalve SA-le</t>
  </si>
  <si>
    <t>10. Ettevõtlusameti haldusala</t>
  </si>
  <si>
    <t>Ettevõtlusameti haldusala</t>
  </si>
  <si>
    <t>Kultuuriprojektide ja -organisatsioonide toetamine</t>
  </si>
  <si>
    <t>SA ORTHODOX SINGERS</t>
  </si>
  <si>
    <t>teistelt kohalikelt omavalitsustelt huvikoolide tegevuskulude katteks</t>
  </si>
  <si>
    <t>huvikooli õppetasu</t>
  </si>
  <si>
    <t>väikeloomade krematooriumiteenus</t>
  </si>
  <si>
    <t>väikeloomade transport</t>
  </si>
  <si>
    <t>18.5. Lasnamäe Noortekeskus</t>
  </si>
  <si>
    <t>sauna piletitulu</t>
  </si>
  <si>
    <t>6.4. Tallinna Linnamuuseum</t>
  </si>
  <si>
    <t>6.5. Tallinna Loomaaed</t>
  </si>
  <si>
    <t>6.6. Tallinna Linnateater</t>
  </si>
  <si>
    <t>6.7. Tallinna Filharmoonia</t>
  </si>
  <si>
    <t>6.8. Tallinna Rahvaülikool</t>
  </si>
  <si>
    <t>6.9. Vene Kultuurikeskus</t>
  </si>
  <si>
    <t>Tallinna eakate kodujälgimisprojekt SmartCare</t>
  </si>
  <si>
    <t>Avalikud suhted</t>
  </si>
  <si>
    <t>Haldusteenused</t>
  </si>
  <si>
    <t>laagriprojektid</t>
  </si>
  <si>
    <t>noorteühingud</t>
  </si>
  <si>
    <t>arendustegevus</t>
  </si>
  <si>
    <t>Eakate päevakeskuste haldamine</t>
  </si>
  <si>
    <t>Sotsiaalmajutusüksused</t>
  </si>
  <si>
    <r>
      <t xml:space="preserve">Muud sotsiaaltoetused, </t>
    </r>
    <r>
      <rPr>
        <i/>
        <u/>
        <sz val="10"/>
        <rFont val="Arial"/>
        <family val="2"/>
        <charset val="186"/>
      </rPr>
      <t>sh</t>
    </r>
  </si>
  <si>
    <r>
      <t>sh</t>
    </r>
    <r>
      <rPr>
        <sz val="8"/>
        <rFont val="Arial"/>
        <family val="2"/>
        <charset val="186"/>
      </rPr>
      <t xml:space="preserve"> toetus (a)</t>
    </r>
  </si>
  <si>
    <r>
      <t>sh</t>
    </r>
    <r>
      <rPr>
        <sz val="8"/>
        <rFont val="Arial"/>
        <family val="2"/>
        <charset val="186"/>
      </rPr>
      <t xml:space="preserve"> projektid ja programmid</t>
    </r>
  </si>
  <si>
    <t>Tootegrupp: kaubandus</t>
  </si>
  <si>
    <t>Muinsus- ja miljööalade kaitse</t>
  </si>
  <si>
    <t>Toetus SA-le Tallinna Tehnika- ja Teaduskeskus</t>
  </si>
  <si>
    <t>Linna kunstikogu haldamine</t>
  </si>
  <si>
    <t>Finantsjuhtimine (ü)</t>
  </si>
  <si>
    <t>Randade hooldus</t>
  </si>
  <si>
    <t>Saunateenuse korraldamine</t>
  </si>
  <si>
    <t>Rahvarinde muuseum</t>
  </si>
  <si>
    <t>Omavalitsusfoorumid ja koostöö arendamine</t>
  </si>
  <si>
    <t>Tallinna Maraton</t>
  </si>
  <si>
    <r>
      <t xml:space="preserve">sh </t>
    </r>
    <r>
      <rPr>
        <sz val="8"/>
        <rFont val="Arial"/>
        <family val="2"/>
        <charset val="186"/>
      </rPr>
      <t>eluruumide haldamine</t>
    </r>
  </si>
  <si>
    <t>Toetus Tallinna Linnahalli AS-ile</t>
  </si>
  <si>
    <t>Ühistranspordi infrastruktuuri haldamine</t>
  </si>
  <si>
    <t>sh liikluskorralduse uuringud</t>
  </si>
  <si>
    <t>Haljastute hooldus</t>
  </si>
  <si>
    <t>Vesi ja kanalisatsioon*</t>
  </si>
  <si>
    <t>* Eelarve täitmisel on linnavalitsusel õigus muuta summade jaotust eelarvepositsiooni üldsumma piires.</t>
  </si>
  <si>
    <t>Eraldised Häirekeskusele Tallinna abitelefoni 1345 töö korraldamiseks</t>
  </si>
  <si>
    <t>Taaskasutatavate ja ohtlike jäätmete käitlus</t>
  </si>
  <si>
    <t>Geomaatika</t>
  </si>
  <si>
    <r>
      <t xml:space="preserve">sh </t>
    </r>
    <r>
      <rPr>
        <sz val="8"/>
        <rFont val="Arial"/>
        <family val="2"/>
        <charset val="186"/>
      </rPr>
      <t>Viru autobussiterminal</t>
    </r>
  </si>
  <si>
    <r>
      <t xml:space="preserve">sh </t>
    </r>
    <r>
      <rPr>
        <sz val="8"/>
        <rFont val="Arial"/>
        <family val="2"/>
        <charset val="186"/>
      </rPr>
      <t>liinivedu laevaga</t>
    </r>
  </si>
  <si>
    <r>
      <t xml:space="preserve">sh </t>
    </r>
    <r>
      <rPr>
        <sz val="8"/>
        <rFont val="Arial"/>
        <family val="2"/>
        <charset val="186"/>
      </rPr>
      <t>sademevee puhastus (a)</t>
    </r>
  </si>
  <si>
    <r>
      <t xml:space="preserve">sh </t>
    </r>
    <r>
      <rPr>
        <sz val="8"/>
        <rFont val="Arial"/>
        <family val="2"/>
        <charset val="186"/>
      </rPr>
      <t>ajutised välikäimlad</t>
    </r>
  </si>
  <si>
    <r>
      <t>sh</t>
    </r>
    <r>
      <rPr>
        <sz val="8"/>
        <rFont val="Arial"/>
        <family val="2"/>
        <charset val="186"/>
      </rPr>
      <t xml:space="preserve"> koerte jalutusväljakute ja ujutamiskohtade hooldus</t>
    </r>
  </si>
  <si>
    <t>Arendustegevus</t>
  </si>
  <si>
    <t>noorsootööprojektid</t>
  </si>
  <si>
    <t>Personalijuhtimine</t>
  </si>
  <si>
    <t>Tootegrupp: lastehoid ja alusharidus</t>
  </si>
  <si>
    <t>Tootegrupp: põhi- ja üldkeskharidus</t>
  </si>
  <si>
    <t>Tootegrupp: kutseharidus</t>
  </si>
  <si>
    <t>Tootegrupp: huviharidus</t>
  </si>
  <si>
    <t>Tootegrupp: tänavavalgustus</t>
  </si>
  <si>
    <t>Tootegrupp: loomakaitse</t>
  </si>
  <si>
    <t>sellest juhtkoerte toidukulud</t>
  </si>
  <si>
    <t>munitsipaalkauplus</t>
  </si>
  <si>
    <t>Tootegrupp: spetsiifilised matuseteenused</t>
  </si>
  <si>
    <t>toetused</t>
  </si>
  <si>
    <t>Tallinna linna noortevolikogu</t>
  </si>
  <si>
    <t>sh Tšernobõli sotsiaalprogramm</t>
  </si>
  <si>
    <t>* Eelarve täitmisel on linnavalitsusel õigus muuta linnavalitsuse reservfondi ja reservide jaotust ettenähtud üldsumma piires.</t>
  </si>
  <si>
    <t>Juriidilised teenused ja ühekordsed kohtuvaidlused</t>
  </si>
  <si>
    <t>5.4. Tallinna Kopli Ametikool</t>
  </si>
  <si>
    <t>5.5. Lasnamäe Lastekeskus</t>
  </si>
  <si>
    <t>5.7. Tallinna Õpetajate Maja</t>
  </si>
  <si>
    <t>Reservfond*, sh</t>
  </si>
  <si>
    <t>5.6. Huvikoolid</t>
  </si>
  <si>
    <r>
      <t>Tootegrupp: loomaaed</t>
    </r>
    <r>
      <rPr>
        <sz val="8"/>
        <rFont val="Arial"/>
        <family val="2"/>
        <charset val="186"/>
      </rPr>
      <t xml:space="preserve"> (Tallinna Loomaaed)</t>
    </r>
  </si>
  <si>
    <r>
      <t>Tootegrupp: teater</t>
    </r>
    <r>
      <rPr>
        <sz val="8"/>
        <rFont val="Arial"/>
        <family val="2"/>
        <charset val="186"/>
      </rPr>
      <t xml:space="preserve"> (Tallinna Linnateater)</t>
    </r>
  </si>
  <si>
    <r>
      <t>Tootegrupp: kontsertteenus</t>
    </r>
    <r>
      <rPr>
        <sz val="8"/>
        <rFont val="Arial"/>
        <family val="2"/>
        <charset val="186"/>
      </rPr>
      <t xml:space="preserve"> (Tallinna Filharmoonia)</t>
    </r>
  </si>
  <si>
    <r>
      <t>Tootegrupp: koolitusteenus</t>
    </r>
    <r>
      <rPr>
        <sz val="8"/>
        <rFont val="Arial"/>
        <family val="2"/>
        <charset val="186"/>
      </rPr>
      <t xml:space="preserve"> (Tallinna Rahvaülikool)</t>
    </r>
  </si>
  <si>
    <r>
      <t>Spordihallid ja -väljakud</t>
    </r>
    <r>
      <rPr>
        <sz val="8"/>
        <rFont val="Arial"/>
        <family val="2"/>
        <charset val="186"/>
      </rPr>
      <t xml:space="preserve"> (Tallinna Spordihall)</t>
    </r>
  </si>
  <si>
    <r>
      <t>Ujulad</t>
    </r>
    <r>
      <rPr>
        <sz val="8"/>
        <rFont val="Arial"/>
        <family val="2"/>
        <charset val="186"/>
      </rPr>
      <t xml:space="preserve"> (Tallinna Spordihall)</t>
    </r>
  </si>
  <si>
    <r>
      <t>Staadionid</t>
    </r>
    <r>
      <rPr>
        <sz val="8"/>
        <rFont val="Arial"/>
        <family val="2"/>
        <charset val="186"/>
      </rPr>
      <t xml:space="preserve"> (Kadrioru Staadion, Spordi- ja Noorsooamet (Snelli Staadion), Nõmme Spordikeskus)</t>
    </r>
  </si>
  <si>
    <r>
      <t>Päevategevus ja -hoid</t>
    </r>
    <r>
      <rPr>
        <sz val="8"/>
        <rFont val="Arial"/>
        <family val="2"/>
        <charset val="186"/>
      </rPr>
      <t xml:space="preserve"> (Sotsiaal- ja Tervishoiuamet, Tallinna Tugikeskus Juks, Päevakeskus Käo)</t>
    </r>
  </si>
  <si>
    <r>
      <t>Teenused psüühiliste erivajadustega inimestele</t>
    </r>
    <r>
      <rPr>
        <sz val="8"/>
        <rFont val="Arial"/>
        <family val="2"/>
        <charset val="186"/>
      </rPr>
      <t xml:space="preserve"> (Tallinna Vaimse Tervise Keskus)</t>
    </r>
  </si>
  <si>
    <r>
      <t>Üldhooldekodu teenused</t>
    </r>
    <r>
      <rPr>
        <sz val="8"/>
        <rFont val="Arial"/>
        <family val="2"/>
        <charset val="186"/>
      </rPr>
      <t xml:space="preserve"> (Sotsiaal- ja Tervishoiuamet, Iru Hooldekodu)</t>
    </r>
  </si>
  <si>
    <r>
      <t>Perekeskuse teenused</t>
    </r>
    <r>
      <rPr>
        <sz val="8"/>
        <rFont val="Arial"/>
        <family val="2"/>
        <charset val="186"/>
      </rPr>
      <t xml:space="preserve"> (Tallinna Perekeskus)</t>
    </r>
  </si>
  <si>
    <r>
      <t>Sotsiaalmajutusüksused</t>
    </r>
    <r>
      <rPr>
        <sz val="8"/>
        <rFont val="Arial"/>
        <family val="2"/>
        <charset val="186"/>
      </rPr>
      <t xml:space="preserve"> (Tallinna Sotsiaaltöö Keskus)</t>
    </r>
  </si>
  <si>
    <r>
      <t>Haljastute hooldus</t>
    </r>
    <r>
      <rPr>
        <sz val="8"/>
        <rFont val="Arial"/>
        <family val="2"/>
        <charset val="186"/>
      </rPr>
      <t xml:space="preserve"> (Kadrioru Park)</t>
    </r>
  </si>
  <si>
    <r>
      <t>Kalmistuteenused</t>
    </r>
    <r>
      <rPr>
        <sz val="8"/>
        <rFont val="Arial"/>
        <family val="2"/>
        <charset val="186"/>
      </rPr>
      <t xml:space="preserve"> (Tallinna Kalmistud)</t>
    </r>
  </si>
  <si>
    <r>
      <t>Korraldatud jäätmevedu</t>
    </r>
    <r>
      <rPr>
        <sz val="8"/>
        <rFont val="Arial"/>
        <family val="2"/>
        <charset val="186"/>
      </rPr>
      <t xml:space="preserve"> (Tallinna Jäätmekeskus)</t>
    </r>
  </si>
  <si>
    <r>
      <t>Tootegrupp: botaanikaaed</t>
    </r>
    <r>
      <rPr>
        <sz val="8"/>
        <rFont val="Arial"/>
        <family val="2"/>
        <charset val="186"/>
      </rPr>
      <t xml:space="preserve"> (Tallinna Botaanikaaed)</t>
    </r>
  </si>
  <si>
    <r>
      <t>Päevakeskuse teenused</t>
    </r>
    <r>
      <rPr>
        <sz val="8"/>
        <rFont val="Arial"/>
        <family val="2"/>
        <charset val="186"/>
      </rPr>
      <t xml:space="preserve"> (Haabersti Sotsiaalkeskus)</t>
    </r>
  </si>
  <si>
    <r>
      <t xml:space="preserve">Koduteenused </t>
    </r>
    <r>
      <rPr>
        <sz val="8"/>
        <rFont val="Arial"/>
        <family val="2"/>
        <charset val="186"/>
      </rPr>
      <t>(Haabersti Sotsiaalkeskus)</t>
    </r>
  </si>
  <si>
    <r>
      <t>Tootegrupp: kultuuritegevus</t>
    </r>
    <r>
      <rPr>
        <sz val="8"/>
        <rFont val="Arial"/>
        <family val="2"/>
        <charset val="186"/>
      </rPr>
      <t xml:space="preserve"> (Kultuurikeskus Lindakivi)</t>
    </r>
  </si>
  <si>
    <r>
      <t>Noortekeskus</t>
    </r>
    <r>
      <rPr>
        <sz val="8"/>
        <rFont val="Arial"/>
        <family val="2"/>
        <charset val="186"/>
      </rPr>
      <t xml:space="preserve"> (Lasnamäe Noortekeskus)</t>
    </r>
  </si>
  <si>
    <r>
      <t>Spordihooned ja -rajatised</t>
    </r>
    <r>
      <rPr>
        <sz val="8"/>
        <rFont val="Arial"/>
        <family val="2"/>
        <charset val="186"/>
      </rPr>
      <t xml:space="preserve"> (Lasnamäe Spordikompleks)</t>
    </r>
  </si>
  <si>
    <r>
      <t>Päevakeskuse teenused</t>
    </r>
    <r>
      <rPr>
        <sz val="8"/>
        <rFont val="Arial"/>
        <family val="2"/>
        <charset val="186"/>
      </rPr>
      <t xml:space="preserve"> (Lasnamäe Sotsiaalkeskus)</t>
    </r>
  </si>
  <si>
    <r>
      <t>Koduteenused</t>
    </r>
    <r>
      <rPr>
        <sz val="8"/>
        <rFont val="Arial"/>
        <family val="2"/>
        <charset val="186"/>
      </rPr>
      <t xml:space="preserve"> (Lasnamäe Sotsiaalkeskus)</t>
    </r>
  </si>
  <si>
    <r>
      <t>Tootegrupp: kultuuritegevus</t>
    </r>
    <r>
      <rPr>
        <sz val="8"/>
        <rFont val="Arial"/>
        <family val="2"/>
        <charset val="186"/>
      </rPr>
      <t xml:space="preserve"> (Nõmme Kultuurikeskus)</t>
    </r>
  </si>
  <si>
    <r>
      <t>Üldhooldekoduteenused</t>
    </r>
    <r>
      <rPr>
        <sz val="8"/>
        <rFont val="Arial"/>
        <family val="2"/>
        <charset val="186"/>
      </rPr>
      <t xml:space="preserve"> (Nõmme Sotsiaalmaja)</t>
    </r>
  </si>
  <si>
    <r>
      <t>Tootegrupp: kultuuritegevus</t>
    </r>
    <r>
      <rPr>
        <sz val="8"/>
        <rFont val="Arial"/>
        <family val="2"/>
        <charset val="186"/>
      </rPr>
      <t xml:space="preserve"> (Pirita Vaba Aja Keskus)</t>
    </r>
  </si>
  <si>
    <r>
      <t>Noortekeskus</t>
    </r>
    <r>
      <rPr>
        <sz val="8"/>
        <rFont val="Arial"/>
        <family val="2"/>
        <charset val="186"/>
      </rPr>
      <t xml:space="preserve"> (Pirita Vaba Aja Keskus)</t>
    </r>
  </si>
  <si>
    <r>
      <t>Päevakeskuse teenused</t>
    </r>
    <r>
      <rPr>
        <sz val="8"/>
        <rFont val="Arial"/>
        <family val="2"/>
        <charset val="186"/>
      </rPr>
      <t xml:space="preserve"> (Pirita Vaba Aja Keskus)</t>
    </r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</si>
  <si>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</si>
  <si>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sh</t>
    </r>
    <r>
      <rPr>
        <sz val="8"/>
        <rFont val="Arial"/>
        <family val="2"/>
        <charset val="186"/>
      </rPr>
      <t xml:space="preserve"> jäähallid</t>
    </r>
  </si>
  <si>
    <r>
      <t xml:space="preserve">sh </t>
    </r>
    <r>
      <rPr>
        <sz val="8"/>
        <rFont val="Arial"/>
        <family val="2"/>
        <charset val="186"/>
      </rPr>
      <t>Tallinna Spordiselts Kalev</t>
    </r>
  </si>
  <si>
    <r>
      <t>Muud hoolekandeteenused</t>
    </r>
    <r>
      <rPr>
        <sz val="8"/>
        <rFont val="Arial"/>
        <family val="2"/>
        <charset val="186"/>
      </rPr>
      <t xml:space="preserve"> (Tallinna Sotsiaaltöö Keskus)</t>
    </r>
  </si>
  <si>
    <r>
      <t>Lillefestivali korraldamine</t>
    </r>
    <r>
      <rPr>
        <sz val="8"/>
        <rFont val="Arial"/>
        <family val="2"/>
        <charset val="186"/>
      </rPr>
      <t xml:space="preserve"> (Kadrioru Park)</t>
    </r>
  </si>
  <si>
    <r>
      <t>Saunateenuse korraldamine</t>
    </r>
    <r>
      <rPr>
        <sz val="8"/>
        <rFont val="Arial"/>
        <family val="2"/>
        <charset val="186"/>
      </rPr>
      <t xml:space="preserve"> (Raua Saun)</t>
    </r>
  </si>
  <si>
    <t>Teede ja tänavate sulgemise maks</t>
  </si>
  <si>
    <t>Loodusvarade kasutusõiguse tasu</t>
  </si>
  <si>
    <t>Tallinna linna infotehnoloogia stipendium (Eesti Infotehnoloogia Kolledž)</t>
  </si>
  <si>
    <t>ART - Fortius MTÜ (Kuldne Mask Eestis)</t>
  </si>
  <si>
    <r>
      <t xml:space="preserve">sh </t>
    </r>
    <r>
      <rPr>
        <sz val="8"/>
        <rFont val="Arial"/>
        <family val="2"/>
        <charset val="186"/>
      </rPr>
      <t>Tallinna Noorteklubi KODULINN</t>
    </r>
  </si>
  <si>
    <t>toetus Eesti Üürnike Liidule</t>
  </si>
  <si>
    <t>Toetus SA-le Tallinna Arengu- ja Koolituskeskus</t>
  </si>
  <si>
    <r>
      <rPr>
        <i/>
        <sz val="8"/>
        <rFont val="Arial"/>
        <family val="2"/>
        <charset val="186"/>
      </rPr>
      <t>sh</t>
    </r>
    <r>
      <rPr>
        <sz val="8"/>
        <rFont val="Arial"/>
        <family val="2"/>
        <charset val="186"/>
      </rPr>
      <t xml:space="preserve"> SA Õpilasmalev</t>
    </r>
  </si>
  <si>
    <t>Toetus SA-le Tallinna Ettevõtlusinkubaatorid</t>
  </si>
  <si>
    <t>Toetus Tallinna Munitsipaalperearstikeskuse OÜ-le</t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</si>
  <si>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</si>
  <si>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t>Tallinna Turud</t>
  </si>
  <si>
    <t>oma- ja kaasfinantseerimise ja välisprojektide ettevalmistamise reserv</t>
  </si>
  <si>
    <t>laste hoiu kohatasu</t>
  </si>
  <si>
    <t xml:space="preserve">huviasutuse muud tulud </t>
  </si>
  <si>
    <t>treeningu õppetasu</t>
  </si>
  <si>
    <t>spordilaagri teenused</t>
  </si>
  <si>
    <t>kauba müük (km 20%, linnapoe kauba müük)</t>
  </si>
  <si>
    <t>piletimüügi teenustasu</t>
  </si>
  <si>
    <t>16.3. Raua Saun</t>
  </si>
  <si>
    <t>muud tulud</t>
  </si>
  <si>
    <t>20.3. Nõmme Vaba Aja Keskus</t>
  </si>
  <si>
    <t>Toetus välisprojektide kaasfinantseerimiseks</t>
  </si>
  <si>
    <t>Tallinna Linnakantselei</t>
  </si>
  <si>
    <t>Baltic Flows - sademevee jälgimine ja juhtimine Läänemere piirkonna valgaladel</t>
  </si>
  <si>
    <t>sellest välisrahastus</t>
  </si>
  <si>
    <t>Kultuuriöö</t>
  </si>
  <si>
    <t>Tootegrupp: spordikoolid</t>
  </si>
  <si>
    <r>
      <t>Spordikoolid (</t>
    </r>
    <r>
      <rPr>
        <sz val="8"/>
        <rFont val="Arial"/>
        <family val="2"/>
        <charset val="186"/>
      </rPr>
      <t>Tallinna Spordikool</t>
    </r>
    <r>
      <rPr>
        <sz val="10"/>
        <rFont val="Arial"/>
        <family val="2"/>
        <charset val="186"/>
      </rPr>
      <t>)</t>
    </r>
  </si>
  <si>
    <t>programmilised tegevused ja üritused</t>
  </si>
  <si>
    <t>Haljastute hooldusremont</t>
  </si>
  <si>
    <r>
      <t>Noortekeskus</t>
    </r>
    <r>
      <rPr>
        <sz val="8"/>
        <rFont val="Arial"/>
        <family val="2"/>
        <charset val="186"/>
      </rPr>
      <t xml:space="preserve"> (Kesklinna Vaba Aja Keskus)</t>
    </r>
  </si>
  <si>
    <r>
      <t>Noortekeskus</t>
    </r>
    <r>
      <rPr>
        <sz val="8"/>
        <rFont val="Arial"/>
        <family val="2"/>
        <charset val="186"/>
      </rPr>
      <t xml:space="preserve"> (Nõmme Vaba Aja 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</si>
  <si>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</si>
  <si>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sellest</t>
    </r>
    <r>
      <rPr>
        <sz val="8"/>
        <rFont val="Arial"/>
        <family val="2"/>
        <charset val="186"/>
      </rPr>
      <t xml:space="preserve"> MTÜ Pimedate Ööde Filmifestival</t>
    </r>
  </si>
  <si>
    <r>
      <t>Spordihooned ja -rajatised</t>
    </r>
    <r>
      <rPr>
        <sz val="8"/>
        <rFont val="Arial"/>
        <family val="2"/>
        <charset val="186"/>
      </rPr>
      <t xml:space="preserve"> (Pirita Spordikeskus, Tondiraba Spordikeskus, Kristiine Sport, Nõmme Spordikeskus)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</si>
  <si>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</si>
  <si>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Linnavalitsus ja linnavalitsuse liikmete bürood</t>
  </si>
  <si>
    <t>Linnasekretäri büroo ja linna valdkondlike teenistuste isikkoosseis</t>
  </si>
  <si>
    <t>Koostöö arendamine partnerlinnade ja rahvusvaheliste organisatsioonidega</t>
  </si>
  <si>
    <t>Tootegrupp: liikluskorraldus*</t>
  </si>
  <si>
    <t>Kasum/kahjum varude müügist</t>
  </si>
  <si>
    <r>
      <t>Päevakeskuse teenused</t>
    </r>
    <r>
      <rPr>
        <sz val="8"/>
        <rFont val="Arial"/>
        <family val="2"/>
        <charset val="186"/>
      </rPr>
      <t xml:space="preserve"> (Nõmme Vaba Aja Keskus)</t>
    </r>
  </si>
  <si>
    <r>
      <t>Koduteenused</t>
    </r>
    <r>
      <rPr>
        <sz val="8"/>
        <rFont val="Arial"/>
        <family val="2"/>
        <charset val="186"/>
      </rPr>
      <t xml:space="preserve"> (Nõmme Sotsiaalmaja)</t>
    </r>
  </si>
  <si>
    <r>
      <t>Toetatud elamine</t>
    </r>
    <r>
      <rPr>
        <sz val="8"/>
        <rFont val="Arial"/>
        <family val="2"/>
        <charset val="186"/>
      </rPr>
      <t xml:space="preserve"> (Nõmme Sotsiaalmaja)</t>
    </r>
  </si>
  <si>
    <t>Noorte info- ja nõustamiskeskus</t>
  </si>
  <si>
    <t>* Eelarve täitmisel on lubatud soetada fooriobjektide hooldusremondi teostamiseks vajalikku materiaalset ja/või immateriaalset põhivara.</t>
  </si>
  <si>
    <t>Jazzkaare Sõprade Ühing</t>
  </si>
  <si>
    <r>
      <t>Saunateenuse korraldamine</t>
    </r>
    <r>
      <rPr>
        <sz val="8"/>
        <rFont val="Arial"/>
        <family val="2"/>
        <charset val="186"/>
      </rPr>
      <t xml:space="preserve"> (Lasnamäe Saun)</t>
    </r>
  </si>
  <si>
    <t>18.6. Lasnamäe Saun</t>
  </si>
  <si>
    <t>Eesti Korvpalliliit</t>
  </si>
  <si>
    <r>
      <t>Tootegrupp: kultuuritegevus</t>
    </r>
    <r>
      <rPr>
        <sz val="8"/>
        <rFont val="Arial"/>
        <family val="2"/>
        <charset val="186"/>
      </rPr>
      <t xml:space="preserve"> (Kesklinna Vaba Aja Keskus)</t>
    </r>
  </si>
  <si>
    <t>Toetus SA-le Tallinna Vene Lütseum</t>
  </si>
  <si>
    <t>Tootevaldkond: teed ja tänavad*</t>
  </si>
  <si>
    <t>Tootegrupp: teetööd</t>
  </si>
  <si>
    <t>* Eelarve täitmisel on linnavalitsusel õigus muuta summade jaotust tootevaldkonna üldsumma piires.</t>
  </si>
  <si>
    <t>haridustöötajate tunnustamine</t>
  </si>
  <si>
    <t>7.5. Kristiine Sport</t>
  </si>
  <si>
    <t>7.6. Nõmme Spordikeskus</t>
  </si>
  <si>
    <t>7.8. Tondiraba Spordikeskus</t>
  </si>
  <si>
    <r>
      <t>Laste päevakeskuse teenused</t>
    </r>
    <r>
      <rPr>
        <sz val="8"/>
        <rFont val="Arial"/>
        <family val="2"/>
        <charset val="186"/>
      </rPr>
      <t xml:space="preserve"> (Nõmme Vaba Aja Keskus)</t>
    </r>
  </si>
  <si>
    <r>
      <t>Päevakeskuse teenused</t>
    </r>
    <r>
      <rPr>
        <sz val="8"/>
        <rFont val="Arial"/>
        <family val="2"/>
        <charset val="186"/>
      </rPr>
      <t xml:space="preserve"> (Mustamäe Päevakeskus)</t>
    </r>
  </si>
  <si>
    <r>
      <t>Koduteenused</t>
    </r>
    <r>
      <rPr>
        <sz val="8"/>
        <rFont val="Arial"/>
        <family val="2"/>
        <charset val="186"/>
      </rPr>
      <t xml:space="preserve"> (Mustamäe Päevakeskus)</t>
    </r>
  </si>
  <si>
    <t>19.3. Mustamäe Päevakeskus</t>
  </si>
  <si>
    <r>
      <t>Tootegrupp: kultuuritegevus</t>
    </r>
    <r>
      <rPr>
        <sz val="8"/>
        <rFont val="Arial"/>
        <family val="2"/>
        <charset val="186"/>
      </rPr>
      <t xml:space="preserve"> (Haabersti Vaba Aja Keskus)</t>
    </r>
  </si>
  <si>
    <r>
      <t xml:space="preserve">Noortekeskus </t>
    </r>
    <r>
      <rPr>
        <sz val="8"/>
        <rFont val="Arial"/>
        <family val="2"/>
        <charset val="186"/>
      </rPr>
      <t>(Haabersti Vaba Aja Keskus)</t>
    </r>
  </si>
  <si>
    <t>Sporditegevuse toetamine (a)</t>
  </si>
  <si>
    <t>MTÜ Kultuuritraditsioonid</t>
  </si>
  <si>
    <t>laste hoiu toitlustustasu</t>
  </si>
  <si>
    <t>dementsete vanurite päevahoiu tasu</t>
  </si>
  <si>
    <t>terviseliikumise programmüritused</t>
  </si>
  <si>
    <t>rahvusvahelised spordiüritused</t>
  </si>
  <si>
    <t>muud spordiprojektid</t>
  </si>
  <si>
    <t>Tallinna linna innovatsioonistipendium (Eesti Ettevõtluskõrgkool Mainor)</t>
  </si>
  <si>
    <t>Kultuurilinnade koostöövõrgustik</t>
  </si>
  <si>
    <t>Laulu- ja Tantsupeo Slaavi pärg Korralduskomitee</t>
  </si>
  <si>
    <t>spordiasutuse tasulised teenused</t>
  </si>
  <si>
    <t>Tallinna Linnateatri 50. juubeli ettevalmistus</t>
  </si>
  <si>
    <r>
      <t>Hooldamine asenduskodus</t>
    </r>
    <r>
      <rPr>
        <sz val="8"/>
        <rFont val="Arial"/>
        <family val="2"/>
        <charset val="186"/>
      </rPr>
      <t xml:space="preserve"> (Tallinna Lastekodu)</t>
    </r>
  </si>
  <si>
    <t>Aegna saare loodusmaja haldamine</t>
  </si>
  <si>
    <t>Tallinna noorsportlased</t>
  </si>
  <si>
    <t>7. Spordi- ja Noorsooameti haldusala</t>
  </si>
  <si>
    <t>7.7. Tallinna Spordikool</t>
  </si>
  <si>
    <t>13.4. Tallinna Jäätmekeskus</t>
  </si>
  <si>
    <t>16.4. Kesklinna Vaba Aja Keskus</t>
  </si>
  <si>
    <t>Juhtimistugi</t>
  </si>
  <si>
    <t>Haridusamet</t>
  </si>
  <si>
    <t>Haridusselts „Vene Kultuuri Rahvaülikool”</t>
  </si>
  <si>
    <t>Projekt „Tallinna Raamat”</t>
  </si>
  <si>
    <t>Välisrahastusega projekt „Tallinna eakate kodujälgimisprojekt SmartCare” (ü)</t>
  </si>
  <si>
    <t>korteriühistute toetus „Roheline õu”</t>
  </si>
  <si>
    <t>Välisrahastusega projektide ettevalmistamise kulud</t>
  </si>
  <si>
    <r>
      <t>Tootegrupp: kultuuritegevus</t>
    </r>
    <r>
      <rPr>
        <sz val="8"/>
        <rFont val="Arial"/>
        <family val="2"/>
        <charset val="186"/>
      </rPr>
      <t xml:space="preserve"> (Mustamäe Kultuurikeskus „Kaja”)</t>
    </r>
  </si>
  <si>
    <r>
      <t>Noortekeskus</t>
    </r>
    <r>
      <rPr>
        <sz val="8"/>
        <rFont val="Arial"/>
        <family val="2"/>
        <charset val="186"/>
      </rPr>
      <t xml:space="preserve"> (Mustamäe Kultuurikeskus „Kaja”)</t>
    </r>
  </si>
  <si>
    <t>Projekt „Koolibuss”</t>
  </si>
  <si>
    <t>Projekt „Pargi ja reisi”</t>
  </si>
  <si>
    <t>Välisrahastusega projekt „Baltic Flows - sademevee jälgimine ja juhtimine Läänemere piirkonna valgaladel” (ü)</t>
  </si>
  <si>
    <t>Välisrahastusega projekt „Uuendusi Euroopa Liidu 
vananemissõbralikele keskkondadele” (ü)</t>
  </si>
  <si>
    <t>Nutikad loomaaiad. Rahvusvaheline teenustepakett loovaks õppimiseks Kesk-Läänemere Regiooni loomaaedades (SmartZoos)</t>
  </si>
  <si>
    <t>L. Koidula tn 23 hoone rekonstrueerimine lasteaiaks</t>
  </si>
  <si>
    <t>Pihlaka tn 10 hoone rekonstrueerimine lasteaiaks</t>
  </si>
  <si>
    <t>Tallinna kohtumised Peterburis</t>
  </si>
  <si>
    <t xml:space="preserve">Tallinna Kammerorkestri kontsertreis Hiina </t>
  </si>
  <si>
    <t>Eesti Kooriühing</t>
  </si>
  <si>
    <t xml:space="preserve">Mittetulundusühing Mustonenfest   </t>
  </si>
  <si>
    <t>Sihtasutus Tallinna Kunstihoone Fond</t>
  </si>
  <si>
    <r>
      <t xml:space="preserve">Raske ja sügava puudega laste tugiisikuteenus </t>
    </r>
    <r>
      <rPr>
        <sz val="8"/>
        <rFont val="Arial"/>
        <family val="2"/>
        <charset val="186"/>
      </rPr>
      <t>(Tallinna Perekeskus)</t>
    </r>
  </si>
  <si>
    <t>Omastehooldaja asendusteenus</t>
  </si>
  <si>
    <r>
      <t xml:space="preserve">* </t>
    </r>
    <r>
      <rPr>
        <i/>
        <sz val="8"/>
        <rFont val="Arial"/>
        <family val="2"/>
        <charset val="186"/>
      </rPr>
      <t>Peale selle soodustused 5 007 148 €.</t>
    </r>
  </si>
  <si>
    <t>Toetus SA-le Tallinna Teaduspark TEHNOPOL</t>
  </si>
  <si>
    <t>Toetus MTÜ-le Prototron</t>
  </si>
  <si>
    <t>Toetus MTÜ-le Integratsiooni Ühiskondlik Algatuskeskus</t>
  </si>
  <si>
    <t>Loomaaia liigikaitse labori naaritsaaedikute kompleksi ehitus ja DNA labori sisustus</t>
  </si>
  <si>
    <t>Rahvuskultuuride päev</t>
  </si>
  <si>
    <r>
      <t>Noortekodu teenus</t>
    </r>
    <r>
      <rPr>
        <sz val="8"/>
        <rFont val="Arial"/>
        <family val="2"/>
        <charset val="186"/>
      </rPr>
      <t xml:space="preserve"> (Tallinna Lastekodu)</t>
    </r>
  </si>
  <si>
    <t>muud rahva- ja kultuurimaja tasulised teenused</t>
  </si>
  <si>
    <r>
      <t xml:space="preserve">Laste ja emad lastega turvakoduteenused </t>
    </r>
    <r>
      <rPr>
        <sz val="8"/>
        <rFont val="Arial"/>
        <family val="2"/>
        <charset val="186"/>
      </rPr>
      <t>(Sotsiaal- ja Tervishoiuamet, Tallinna Lastekodu, Tallinna Laste Turvakeskus)</t>
    </r>
  </si>
  <si>
    <t>OÜ Eesti Nukukunsti Maja</t>
  </si>
  <si>
    <t>DX ART MTÜ</t>
  </si>
  <si>
    <t>Reidi tee ehitamiseks Tallinnas</t>
  </si>
  <si>
    <t>Energia teekaardid - R4E</t>
  </si>
  <si>
    <t>Välisrahastusega teede ja tänavate rekonstrueerimine</t>
  </si>
  <si>
    <t>sh Haabersti ristmiku rekonstrueerimine</t>
  </si>
  <si>
    <t>Reidi tee ehitus Tallinnas</t>
  </si>
  <si>
    <t>Gonsiori tänava rekonstrueerimine Tallinnas</t>
  </si>
  <si>
    <t>Linnapiirkondade kergliiklusteede ehitamine</t>
  </si>
  <si>
    <t>sh kergliiklustee raudtee tammil (Ehitajate tee - Stroomi rand)</t>
  </si>
  <si>
    <t>Paldiski mnt kergliiklustee (Tähetorni tn - Järvekalda tee)</t>
  </si>
  <si>
    <t>Vana-Tartu mnt kergliiklustee (Tartu mnt - linna piir)</t>
  </si>
  <si>
    <t>Toetused korteriühistutele, sh*</t>
  </si>
  <si>
    <t>toetus korteriühistutele õuealade heakorrastamiseks (ü)</t>
  </si>
  <si>
    <t>toetus korteriühistutele fassaadide korrastamiseks (ü)</t>
  </si>
  <si>
    <t>Eraldised Päästeliidule vabatahtlike kaasamiseks õnnetuste ennetamisel</t>
  </si>
  <si>
    <t>Planeeringud ja arhitektuurikonkursid</t>
  </si>
  <si>
    <t>Linna asutuste turvalisuse tõstmine</t>
  </si>
  <si>
    <t>IT teenused (ü)</t>
  </si>
  <si>
    <t>Stipendiumid</t>
  </si>
  <si>
    <r>
      <t xml:space="preserve">sh </t>
    </r>
    <r>
      <rPr>
        <sz val="8"/>
        <rFont val="Arial"/>
        <family val="2"/>
        <charset val="186"/>
      </rPr>
      <t>Jaan Poska stipendium (Tallinna Tehnikaülikool)</t>
    </r>
  </si>
  <si>
    <t>Tallinna linna stipendium (Tallinna Ülikool)</t>
  </si>
  <si>
    <t>Tallinna linna Peterburi stipendium (Eesti Kunstiakadeemia)</t>
  </si>
  <si>
    <t>Tallinna linna Johan Pitka stipendium (Tallinna Tehnikaülikooli Eesti Mereakadeemia)</t>
  </si>
  <si>
    <t>Tallinna linna Anton Uessoni stipendium (Eesti Kunstiakadeemia)</t>
  </si>
  <si>
    <t>Tallinna ajaloo üldkäsitluse koostamine ja väljaandmine (ü)</t>
  </si>
  <si>
    <t>võistluste osalustasu</t>
  </si>
  <si>
    <t xml:space="preserve">äriruumide üüritulu </t>
  </si>
  <si>
    <t>Tallinna Spordiveteranid</t>
  </si>
  <si>
    <t>talispordi toetamine</t>
  </si>
  <si>
    <t>saavutusspordi toetamine</t>
  </si>
  <si>
    <t>Tallinna spordiaasta lõpetamine</t>
  </si>
  <si>
    <t>HARIDUS</t>
  </si>
  <si>
    <t>KULTUUR</t>
  </si>
  <si>
    <t>TEED JA TÄNAVAD</t>
  </si>
  <si>
    <t>SPORT JA VABA AEG</t>
  </si>
  <si>
    <t>SOTSIAALHOOLEKANNE</t>
  </si>
  <si>
    <t>TERVISHOID</t>
  </si>
  <si>
    <t>LINNAMAJANDUS</t>
  </si>
  <si>
    <t>HEAKORD</t>
  </si>
  <si>
    <t>LINNAPLANEERIMINE</t>
  </si>
  <si>
    <t>LINNA TUGITEENUSED</t>
  </si>
  <si>
    <t>TEHNOVÕRGUD</t>
  </si>
  <si>
    <t>Kultuur</t>
  </si>
  <si>
    <t>LINNATRANSPORT</t>
  </si>
  <si>
    <t>toiduabi</t>
  </si>
  <si>
    <t>Läänemere linnade uurimislabor (Baltic Urban Lab)</t>
  </si>
  <si>
    <t>Haridus</t>
  </si>
  <si>
    <t>Piirkondlikud sündmused, projektid ja mittetulundustegevuse toetamine</t>
  </si>
  <si>
    <t>Tallinna linna broneeringute süsteemi eelanalüüs</t>
  </si>
  <si>
    <t>Välisrahastusega projekt „Tallinna linna broneeringute süsteemi eelanalüüs” (ü)</t>
  </si>
  <si>
    <t>Harju tänava ja Nõmme teisaldatavad jääväljakud</t>
  </si>
  <si>
    <t>CREATE - Liiklusummikute vähendamine Euroopas: transpordi efektiivsuse edendamine</t>
  </si>
  <si>
    <t>Uuendusi Euroopa Liidu vananemissõbralikele keskkondadele</t>
  </si>
  <si>
    <t>Toetus MTÜ-le Tallinn Restaurant Week</t>
  </si>
  <si>
    <t>8.4. Tallinna Vaimse Tervise Keskus</t>
  </si>
  <si>
    <t>16.2. Tallinna Kesklinna Sotsiaalkeskus</t>
  </si>
  <si>
    <t>19.2. Mustamäe Kultuurikeskus Kaja</t>
  </si>
  <si>
    <t>parima noorsootöötaja preemia</t>
  </si>
  <si>
    <r>
      <t>Päevakeskuse teenused</t>
    </r>
    <r>
      <rPr>
        <sz val="8"/>
        <rFont val="Arial"/>
        <family val="2"/>
        <charset val="186"/>
      </rPr>
      <t xml:space="preserve"> (Tallinna Kesklinna Sotsiaalkeskus)</t>
    </r>
  </si>
  <si>
    <r>
      <t>Koduteenused</t>
    </r>
    <r>
      <rPr>
        <sz val="8"/>
        <rFont val="Arial"/>
        <family val="2"/>
        <charset val="186"/>
      </rPr>
      <t xml:space="preserve"> (Tallinna Kesklinna Sotsiaalkeskus)</t>
    </r>
  </si>
  <si>
    <t>Integreerumist soodustava üritustesarja jätkamine Mustamäe linnaosas</t>
  </si>
  <si>
    <t>võitlusspordi toetamine</t>
  </si>
  <si>
    <t>SPORDIKLUBI SINIMÄE</t>
  </si>
  <si>
    <t>Põhja-Eesti Pimedate Ühingule kaitstud töökeskuse ruumide elektrisüsteemi renoveerimiseks</t>
  </si>
  <si>
    <t>Toetus Sihtasutusele Tuleviku Tallinn</t>
  </si>
  <si>
    <t>Toetus Revali Raeapteegi Muuseumi Ühingule</t>
  </si>
  <si>
    <t>Vanalinna päevad</t>
  </si>
  <si>
    <t>KULUD</t>
  </si>
  <si>
    <t>sh teede ja tänavate korrashoid</t>
  </si>
  <si>
    <t>Tallinna Keskraamatukogule teavikute soetamine</t>
  </si>
  <si>
    <t>Gustav Adolfi Gümnaasiumi võimlahoone tervikrenoveerimine ja sisustuse ost</t>
  </si>
  <si>
    <t>toetused toimetulekuraskustes peredele</t>
  </si>
  <si>
    <t>esmakordselt kooli mineva lapse toetus</t>
  </si>
  <si>
    <t>sünnitoetus</t>
  </si>
  <si>
    <t>lapsehoiuteenuse hüvitis</t>
  </si>
  <si>
    <t>puudega lapse toetus</t>
  </si>
  <si>
    <t>ellusuunamise toetus</t>
  </si>
  <si>
    <t>eluruumi kohandamise hüvitis puudega inimesele (ü)</t>
  </si>
  <si>
    <t>pensionilisa*</t>
  </si>
  <si>
    <t>22.5. Põhja-Tallinna Noortekeskus</t>
  </si>
  <si>
    <r>
      <t>Käitumishäiretega laste rehabilitatsiooniteenus</t>
    </r>
    <r>
      <rPr>
        <sz val="8"/>
        <rFont val="Arial"/>
        <family val="2"/>
        <charset val="186"/>
      </rPr>
      <t xml:space="preserve"> (Tallinna Laste Turvakeskus)</t>
    </r>
  </si>
  <si>
    <t xml:space="preserve">sellest ajakirja „Paat” väljaandmise toetamine </t>
  </si>
  <si>
    <t>Eesti Noorte Purjeõppeselts „STA ESTONIA”</t>
  </si>
  <si>
    <t>Välisrahastusega projekt „Nutikad loomaaiad. Rahvusvaheline teenustepakett loovaks õppimiseks Kesk-Läänemere Regiooni loomaaedades (SmartZoos)” (ü)</t>
  </si>
  <si>
    <t>Projekti „Tallinna Haigla” töörühma moodustamine</t>
  </si>
  <si>
    <t>Välisrahastusega projekt „CREATE - Liiklusummikute vähendamine Euroopas: transpordi efektiivsuse edendamine” (ü)</t>
  </si>
  <si>
    <r>
      <t>Laste ja noorte lillepidu</t>
    </r>
    <r>
      <rPr>
        <sz val="10"/>
        <rFont val="Arial"/>
        <family val="2"/>
        <charset val="186"/>
      </rPr>
      <t xml:space="preserve"> </t>
    </r>
    <r>
      <rPr>
        <sz val="8"/>
        <rFont val="Arial"/>
        <family val="2"/>
        <charset val="186"/>
      </rPr>
      <t>(Kadrioru Park)</t>
    </r>
  </si>
  <si>
    <t>* Eelarve täitmisel on linnavalitsusel õigus muuta summade jaotust toetuste üldsumma piires.</t>
  </si>
  <si>
    <t>Välisrahastusega projekt „Energia teekaardid - R4E” (ü)</t>
  </si>
  <si>
    <t>Välisrahastusega projekt „Läänemere linnade uurimislabor (Baltic Urban Lab)” (ü)</t>
  </si>
  <si>
    <r>
      <t xml:space="preserve">Väikeettevõtluse toetamine, </t>
    </r>
    <r>
      <rPr>
        <i/>
        <u/>
        <sz val="10"/>
        <rFont val="Arial"/>
        <family val="2"/>
        <charset val="186"/>
      </rPr>
      <t>sh</t>
    </r>
  </si>
  <si>
    <t>I lisaeelarve</t>
  </si>
  <si>
    <t>Täpsustatud eelarve</t>
  </si>
  <si>
    <t>Esialgne eelarve</t>
  </si>
  <si>
    <t>I LEA</t>
  </si>
  <si>
    <t>AVALIK KORD</t>
  </si>
  <si>
    <t>KESKKONNAKAITSE</t>
  </si>
  <si>
    <t xml:space="preserve">Linnavolikogu </t>
  </si>
  <si>
    <t xml:space="preserve">Haridusamet </t>
  </si>
  <si>
    <r>
      <t>Linnavaraamet</t>
    </r>
    <r>
      <rPr>
        <sz val="10"/>
        <rFont val="Arial"/>
        <family val="2"/>
        <charset val="186"/>
      </rPr>
      <t xml:space="preserve"> </t>
    </r>
  </si>
  <si>
    <r>
      <t>Transpordiamet</t>
    </r>
    <r>
      <rPr>
        <sz val="10"/>
        <rFont val="Arial"/>
        <family val="2"/>
        <charset val="186"/>
      </rPr>
      <t xml:space="preserve"> </t>
    </r>
  </si>
  <si>
    <t xml:space="preserve">Kommunaalamet </t>
  </si>
  <si>
    <t xml:space="preserve">Keskkonnaamet </t>
  </si>
  <si>
    <r>
      <t>Linnaplaneerimise Amet</t>
    </r>
    <r>
      <rPr>
        <sz val="10"/>
        <rFont val="Arial"/>
        <family val="2"/>
        <charset val="186"/>
      </rPr>
      <t xml:space="preserve"> </t>
    </r>
  </si>
  <si>
    <r>
      <t>Munitsipaalpolitsei Amet</t>
    </r>
    <r>
      <rPr>
        <sz val="10"/>
        <rFont val="Arial"/>
        <family val="2"/>
        <charset val="186"/>
      </rPr>
      <t xml:space="preserve"> </t>
    </r>
  </si>
  <si>
    <t>projekt "Liinivõrgu optimeerimine" (ü)</t>
  </si>
  <si>
    <t>Noorsootöö projektid</t>
  </si>
  <si>
    <r>
      <t>Laste päevakeskuse teenused</t>
    </r>
    <r>
      <rPr>
        <sz val="8"/>
        <rFont val="Arial"/>
        <family val="2"/>
        <charset val="186"/>
      </rPr>
      <t xml:space="preserve"> (Lasnamäe Lastekeskus)</t>
    </r>
  </si>
  <si>
    <t>Toetus Mustamäe kiriku rajamiseks</t>
  </si>
  <si>
    <t>Eriilmeliste lasteaiakohtade loomine Tallinna linna lasteasutustes</t>
  </si>
  <si>
    <t>Kultuuriameti haldusala</t>
  </si>
  <si>
    <r>
      <t>Tootegrupp: raamatukogud</t>
    </r>
    <r>
      <rPr>
        <b/>
        <sz val="8"/>
        <rFont val="Arial"/>
        <family val="2"/>
        <charset val="186"/>
      </rPr>
      <t xml:space="preserve"> (Tallinna Keskraamatukogu)</t>
    </r>
  </si>
  <si>
    <r>
      <t>Tootegrupp: kultuuritegevus</t>
    </r>
    <r>
      <rPr>
        <b/>
        <sz val="8"/>
        <rFont val="Arial"/>
        <family val="2"/>
        <charset val="186"/>
      </rPr>
      <t xml:space="preserve"> (Vene Kultuurikeskus, Tallinna Pelgulinna Rahvamaja)</t>
    </r>
  </si>
  <si>
    <r>
      <t>Tootegrupp: muuseumid</t>
    </r>
    <r>
      <rPr>
        <b/>
        <sz val="8"/>
        <rFont val="Arial"/>
        <family val="2"/>
        <charset val="186"/>
      </rPr>
      <t xml:space="preserve"> (Tallinna Linnamuuseum)</t>
    </r>
  </si>
  <si>
    <t>Tallinna linna õigusaktide menetlemise süsteemi eelanalüüs</t>
  </si>
  <si>
    <t xml:space="preserve"> Tallinna linna ühiskaardi kasutusvõimaluste analüüs spordibaasides ja noortekeskustes</t>
  </si>
  <si>
    <t>Puuetega inimeste transpordi infosüsteemi lähteülesande koostamine</t>
  </si>
  <si>
    <t>Tallinna välireklaami- ja teabekandjate ning reklaamimaksu järelevalveliste menetluste andmekogu eelanalüüs</t>
  </si>
  <si>
    <t>FLOW</t>
  </si>
  <si>
    <t>Freigth Tails</t>
  </si>
  <si>
    <t>Tallinna linna hooldus-, heakorra- ja haljastustööde infosüsteemi loomise eelanalüüsi läbiviimine</t>
  </si>
  <si>
    <t>BLASTIC - plastijäätmete teekond Läänemerre</t>
  </si>
  <si>
    <t>NATTOURS - jätkusuutlikud loodusrajad linnades, kasutades uusi IT-lahendusi</t>
  </si>
  <si>
    <t>Tallinna linnaplaneerimise valdkonna arhiivimaterjalide kättesaadavuse ja kasutatavuse parandamise analüüs</t>
  </si>
  <si>
    <t>Ülemiste järve liikumisrada (Tartu mnt lõigus Lennujaama tee – Vana-Tartu mnt)</t>
  </si>
  <si>
    <t>Kesklinna Valitsus</t>
  </si>
  <si>
    <t>tehiselupaigad ohustatud taimeliikidele Tallinna Botaanikaaias</t>
  </si>
  <si>
    <t>NSB CoRe - Läänemere-Balti transpordikoridor kui regiooni ühendaja</t>
  </si>
  <si>
    <t>INTHERWASTE – piirkondadevaheline jäätmemajanduse keskkonda integreerimine Euroopa kultuuripärandiga linnades</t>
  </si>
  <si>
    <t>Aegna päästepunkti rekonstrueerimine sadamahoones</t>
  </si>
  <si>
    <t>6. Kultuuriameti haldusala</t>
  </si>
  <si>
    <t>6.1. Kultuuriamet</t>
  </si>
  <si>
    <t>looduskooli tasu</t>
  </si>
  <si>
    <t>18.7. Lasnamäe Lastekeskus</t>
  </si>
  <si>
    <r>
      <t>Sotsiaalhoolekanne</t>
    </r>
    <r>
      <rPr>
        <b/>
        <i/>
        <sz val="10"/>
        <color theme="0"/>
        <rFont val="Arial"/>
        <family val="2"/>
        <charset val="186"/>
      </rPr>
      <t>1</t>
    </r>
  </si>
  <si>
    <r>
      <t>Tervishoid</t>
    </r>
    <r>
      <rPr>
        <b/>
        <i/>
        <sz val="10"/>
        <color theme="0"/>
        <rFont val="Arial"/>
        <family val="2"/>
        <charset val="186"/>
      </rPr>
      <t>1</t>
    </r>
  </si>
  <si>
    <t>Haridusasutuste IKT keskkond</t>
  </si>
  <si>
    <t>Välisrahastusega projekt „Tallinna linna õigusaktide menetlemise infosüsteemi eelanalüüs” (ü)</t>
  </si>
  <si>
    <t>Elamusspordikeskus Ühing</t>
  </si>
  <si>
    <t>Välisrahastusega projekt „Tallinna linna ühiskaardi kasutusvõimaluste analüüs spordibaasides ja noortekeskustes” (ü)</t>
  </si>
  <si>
    <t>Välisrahastusega projekt "Eriilmeliste lasteaiakohtade loomine Tallinna linna lasteasutustes" (ü)</t>
  </si>
  <si>
    <t>Tallinna Kultuuriamet</t>
  </si>
  <si>
    <t>Loomingukeskus Šanss</t>
  </si>
  <si>
    <t>Mittetulundusühing LOOMINGUKESKUS APLAUS</t>
  </si>
  <si>
    <t>Tööharjutuskeskused</t>
  </si>
  <si>
    <t>Välisrahastusega projekt "Puuetega inimeste transpordi infosüsteemi lähteülesande koostamine"</t>
  </si>
  <si>
    <t>Toetus Ühistupanga Asutamise SA-le</t>
  </si>
  <si>
    <t>Välisrahastusega projekt "Tallinna välireklaami- ja teabekandjate ning reklaamimaksu järelevalveliste menetluste andmekogu eelanalüüs"</t>
  </si>
  <si>
    <t>Välisrahastusega projekt "NSB CoRe - Läänemere-Balti transpordikoridor kui regiooni ühendaja" (ü)</t>
  </si>
  <si>
    <t>Välisrahastusega projekt "FLOW" (ü)</t>
  </si>
  <si>
    <t>Välisrahastusega projekt "Freigth Tails" (ü)</t>
  </si>
  <si>
    <t>Välisrahastusega projekt "Tallinna linna hooldus-, heakorra- ja haljastustööde infosüsteemi loomise eelanalüüsi läbiviimine“ (ü)</t>
  </si>
  <si>
    <t>Välisrahastusega projekt "Tehnovõrkude tervikliku andmehõive innovaatiline lahendus"</t>
  </si>
  <si>
    <t xml:space="preserve">Laste ja noorte lillepidu </t>
  </si>
  <si>
    <t>Välisrahastusega projekt „BLASTIC - plastijäätmete teekond Läänemerre” (ü)</t>
  </si>
  <si>
    <t>Välisrahastusega projekt „NATTOURS - jätkusuutlikud loodusrajad linnades kasutades uusi IT lahendusi” (ü)</t>
  </si>
  <si>
    <t>Välisrahastusega projekt „INTHERWASTE – piirkondadevaheline jäätmemajanduse keskkonda integreerimine Euroopa kultuuripärandiga linnades”(ü)</t>
  </si>
  <si>
    <t>Välisrahastusega projekt "Tallinna linnaplaneerimise valdkonna arhiivi-materjalide kättesaadavuse ja kasutatavuse parandamise analüüs" (ü)</t>
  </si>
  <si>
    <t>Omatulud</t>
  </si>
  <si>
    <t>Toetused</t>
  </si>
  <si>
    <t>Amortisatsioon</t>
  </si>
  <si>
    <t>INVESTEERIMISTEGEVUSE EELARVE</t>
  </si>
  <si>
    <t>Objekti ja projekti nimetus</t>
  </si>
  <si>
    <t>Katte- allikas*</t>
  </si>
  <si>
    <t>Kogu-maksumus</t>
  </si>
  <si>
    <t>Kinnitatud eelarve</t>
  </si>
  <si>
    <t>INVESTEERIMISPROJEKTID JA ANTAV SIHTFINANTSEERIMINE KOKKU</t>
  </si>
  <si>
    <t>Kokku (I+II+III)</t>
  </si>
  <si>
    <t>Kokku</t>
  </si>
  <si>
    <t>sh</t>
  </si>
  <si>
    <t>LE</t>
  </si>
  <si>
    <t>OT</t>
  </si>
  <si>
    <t>SE</t>
  </si>
  <si>
    <t>RE</t>
  </si>
  <si>
    <t>VR</t>
  </si>
  <si>
    <t>INVESTEERIMISPROJEKTID KOKKU (I+II)</t>
  </si>
  <si>
    <t>I VÄLISRAHASTUSEGA INVESTEERIMISPROJEKTID</t>
  </si>
  <si>
    <t>Välisprojektid kokku</t>
  </si>
  <si>
    <t xml:space="preserve">Loomaaia liigikaitse labori naaritsaaedikute kompleksi ehitus ja DNA labori sisustus </t>
  </si>
  <si>
    <t>sh välisrahastusega teede projekteerimine ja maade omandamine</t>
  </si>
  <si>
    <t>Haabersti ristmiku rekonstrueerimine Tallinnas</t>
  </si>
  <si>
    <t>Välisrahastusega kergliiklusteede rajamine</t>
  </si>
  <si>
    <t>sh kergliiklustee raudteetammil lõigus Ehitajate tee - Stroomi rand</t>
  </si>
  <si>
    <t>Paldiski mnt kergliiklustee lõigus Tähetorni tn - Järvekalda tee</t>
  </si>
  <si>
    <t>Vana-Tartu mnt kergliiklustee lõigus Tartu mnt - linna piir</t>
  </si>
  <si>
    <t>Ülemiste järve liikumisrada (Tartu mnt lõigus Lennujaama tee - Vana-Tartu mnt)</t>
  </si>
  <si>
    <t>II MUUD INVESTEERIMISPROJEKTID</t>
  </si>
  <si>
    <t>Muud investeerimisprojektid kokku</t>
  </si>
  <si>
    <t>Põhikoolide ja gümnaasiumide remont ja soetused</t>
  </si>
  <si>
    <t>SE**</t>
  </si>
  <si>
    <t>sh Tallinna Tehnikagümnaasiumi tervikremont ja sisustuse ost</t>
  </si>
  <si>
    <t>Tallinna Õismäe Vene Lütseumi tervikremont ja sisustuse ost</t>
  </si>
  <si>
    <t>Gustav Adolfi Gümnaasiumi võimlahoone tervikrenoveerimine ja sisustuse ost**</t>
  </si>
  <si>
    <t>Tallinna Kunstigümnaasiumi rohealale spordiplatsi rajamine koos trenažööridega</t>
  </si>
  <si>
    <t>Vanalinna Hariduskolleegiumi muusikamaja ja muusikakooli renoveerimiseks</t>
  </si>
  <si>
    <t>Pääsküla Gümnaasiumi tervikrenoveerimine  (sh Nõmme Noortemaja uued ruumid)</t>
  </si>
  <si>
    <t>tervikrenoveerimise projekteerimine ja ehitus</t>
  </si>
  <si>
    <t>koolide remonttööd, soetused ja tuleohutusnõuete täitmine</t>
  </si>
  <si>
    <t>sh Tallinna Tondi Põhikooli ja Lasnamäe Põhikooli renoveerimistööde projektid</t>
  </si>
  <si>
    <t>Koolieelsete lasteasutuste remont, soetused ja uued lasteaiad</t>
  </si>
  <si>
    <t>sh Tallinn Vindi Lasteaia piirdeaia ja spordiväljaku renoveerimine</t>
  </si>
  <si>
    <t>Tallinna Linnamäe Lasteaia HEV-laste mänguväljaku arendamine</t>
  </si>
  <si>
    <t>Lastesõime Mõmmik renoveerimine</t>
  </si>
  <si>
    <t>Tallinna Lindakivi Lasteaia mänguväljakute uuendamine</t>
  </si>
  <si>
    <t>Tallinna Lasteaia Kirsike inventari soetamine</t>
  </si>
  <si>
    <t>Veerise lasteaia ehitus</t>
  </si>
  <si>
    <t>Pirita-Kose Lasteaia juurdeehitus ja vana hoone rekonstrueerimine</t>
  </si>
  <si>
    <t xml:space="preserve">Lasteaedade remonttööd ja soetused </t>
  </si>
  <si>
    <t>sh lasteaedade õuealade valgustus</t>
  </si>
  <si>
    <t>Huvikoolide remont ja soetused</t>
  </si>
  <si>
    <t>sh Lasnamäe Huvikooli Punane tn 69 hoone rekonstrueerimistööde projekt ja rekonstrueerimine</t>
  </si>
  <si>
    <t>Tallinna Kanutiaia Noortemaja piirdeaed, saali akende renoveerimine ja kanalisatsiooni välitrass</t>
  </si>
  <si>
    <t>huvikoolide remontööd ja soetused</t>
  </si>
  <si>
    <t>Tallinna Õpetajate Maja remont ja soetused</t>
  </si>
  <si>
    <t>Tallinna Linnateatri Lai tn 25 hoone katuse renoveerimine</t>
  </si>
  <si>
    <t>Mustpeade Maja investeeringud</t>
  </si>
  <si>
    <t xml:space="preserve">Tallinna Loomaaia polaariumi jääkarude ekspositsiooni ehitamine </t>
  </si>
  <si>
    <t>Keskraamatukogu teavikute soetamine</t>
  </si>
  <si>
    <t>Tehiselupaigad ohustatud liikidele Tallinna Botaanikaaias</t>
  </si>
  <si>
    <t>Tallinna Botaanikaaia alajaama rekonstrueerimine</t>
  </si>
  <si>
    <t>Salme Kultuurikeskuse lasteteatrile järelhaagise soetamine</t>
  </si>
  <si>
    <t>Salme Kultuurikeskuse lasteteatrile mobiilse marionett-teatri lava soetamine</t>
  </si>
  <si>
    <t>Vene Kultuurikeskuse tuleohutusnõuete täitmine</t>
  </si>
  <si>
    <t>Kristiine kontserdisaali projekteerimine ja ehitamine (Huvikeskus Kullo juurde)</t>
  </si>
  <si>
    <t>Vene Kultuurikeskuse I ja II korruse ruumide remont</t>
  </si>
  <si>
    <t>Mustamäe Kultuurikeskus Kaja renoveerimine</t>
  </si>
  <si>
    <t>Russalka monumendi renoveerimine</t>
  </si>
  <si>
    <t>Kultuuriasutuste remonttööd ja soetused</t>
  </si>
  <si>
    <t>Kalevi Spordihalli rekonstrueerimine ja sisustus</t>
  </si>
  <si>
    <t>Sõle spordikompleksi projekti muutmine ja ehituse alustamine</t>
  </si>
  <si>
    <t>sh projektijuhi töötasu</t>
  </si>
  <si>
    <t>Kadrioru staadioni renoveerimistööd</t>
  </si>
  <si>
    <t>Wismari tn 15a staadioni maja rekonstrueerimise jätkamine</t>
  </si>
  <si>
    <t>Lasnamäe Spordikompleksi jalgpalliväljaku renoveerimine</t>
  </si>
  <si>
    <t>Lasnamäe Noortekeskuse elektripaigaldise renoveerimine</t>
  </si>
  <si>
    <t>Mähe noortekeskuse ühiskanalisatsiooniga liitumine</t>
  </si>
  <si>
    <t>Kose noortekeskuse platside aia ja värava vahetamine</t>
  </si>
  <si>
    <t>Kristiine noortekeskuse katuse remont</t>
  </si>
  <si>
    <t>Spordiparkide projekteerimine ja ehitamine</t>
  </si>
  <si>
    <t>Spordi- ja noorsootöö valdkonna asutuste remonttööd ja soetused</t>
  </si>
  <si>
    <t>Lasnamäe Spordikompleksi Pae tn 1 peahoone avariiremonttööd</t>
  </si>
  <si>
    <t xml:space="preserve">Tallinna Tugikeskuse Juks Kadaka tee 153 B, C, D ja K korpuste viilkatuste ehituse ja fassaadide soojustamise projekteerimine ja ehitustööd </t>
  </si>
  <si>
    <t>Tallinna Vaimse Tervise Keskuse Hooldekodu tee 2 hoone katuse remont</t>
  </si>
  <si>
    <t>Sotsiaalmajutusüksuste renoveerimine ja soetused (Tuulemaa tn 6)</t>
  </si>
  <si>
    <t>Päevakeskus Käo Pae keskuse Pae 37/Võidujooksu 18 hoonesse invalifti paigaldus ja ruumide remont</t>
  </si>
  <si>
    <t>Päevakeskus Käo Maleva keskuse kahe korpuse vahele kahekorruselise galerii ehitus ja Lasnamäe keskuse territooriumi heakorrastamine ja asfalteerimine</t>
  </si>
  <si>
    <t>Sotsiaalasutuste remonttööd ja soetused</t>
  </si>
  <si>
    <t>Õismäe tee 24 ruumide renoveerimisprojekti koostamine</t>
  </si>
  <si>
    <t>Sõle tn 40 ruumide korrastamine</t>
  </si>
  <si>
    <t>Tallinna Kiirabi Retke tee 1 hoone rekonstrueerimine</t>
  </si>
  <si>
    <t>ELAMUMAJANDUS</t>
  </si>
  <si>
    <t>Munitsipaalelamute projekteerimine, ehitamine ja sisustamine</t>
  </si>
  <si>
    <t>sh Uuslinna tn 3a (õpetajate maja)</t>
  </si>
  <si>
    <t>Ühiselamu tüüpi hoonete renoveerimine (Paljassaare tee 37 ja Sõpruse pst 5 projektid)</t>
  </si>
  <si>
    <t>Linnavaraameti haldusala remonttööd ja soetused</t>
  </si>
  <si>
    <t>Tallinna kinnisvararegistri arendamine</t>
  </si>
  <si>
    <t>Turgude arendamine</t>
  </si>
  <si>
    <t>Valdeku tn 13 hoone renoveerimine</t>
  </si>
  <si>
    <t>Tammsaare pargi projekteerimine ja rekonstrueerimine</t>
  </si>
  <si>
    <t>Tondiloo pargi arendamine (Linnamäe tee 28a)</t>
  </si>
  <si>
    <t>Ekstreemspordiväljaku rajamine Kanutiaia parki</t>
  </si>
  <si>
    <t>Tallinna loomade varjupaiga investeeringud</t>
  </si>
  <si>
    <t>Kadrioru pargi soetused</t>
  </si>
  <si>
    <t>Linnamööbli soetamine (prügikastid, pingid)</t>
  </si>
  <si>
    <t>Patkuli treppide ja vaheplatvormi avariiremonttööd</t>
  </si>
  <si>
    <t>Mänguväljakute rekonstrueerimine (Sõpruse pst 233a) ja renoveerimine</t>
  </si>
  <si>
    <t>Koerte jalutus- ja treeningväljakute rajamine ja rekonstrueerimine</t>
  </si>
  <si>
    <t>Nõmmele uisuplatsi rajamine</t>
  </si>
  <si>
    <t>Tallinna kalmistute investeeringud</t>
  </si>
  <si>
    <t>sh Metsakalmistule kolumbaariumi rajamine</t>
  </si>
  <si>
    <t>Siselinna kalmistu kolumbaariumi ja kalmistuhoone projekteerimine</t>
  </si>
  <si>
    <t>Viru Keskuse bussiterminali infokioski ja infoekraani soetamine</t>
  </si>
  <si>
    <t>Välisrahastuseta teede kapitaalremont ja rekonstrueerimine</t>
  </si>
  <si>
    <t>sh Majaka tänav (Lasnamäe tn - Peterburi tee)</t>
  </si>
  <si>
    <t>Weizenbergi tänav (Narva mnt - Poska tn)</t>
  </si>
  <si>
    <t>Viru tänava sõidutee ja kõnnitee viimine ühte tasapinda</t>
  </si>
  <si>
    <t>Paldiski maantee (Järveotsa tee - Järvekalda tee)</t>
  </si>
  <si>
    <t>Valdeku tänav (Vabaduse pst - Männiku tee)</t>
  </si>
  <si>
    <t>Koidiku tänava ehitus</t>
  </si>
  <si>
    <t>Kase tänav (Pähkli tn - Purde tn)</t>
  </si>
  <si>
    <t>Asula tänav</t>
  </si>
  <si>
    <t>bussiradade rekonstrueerimine</t>
  </si>
  <si>
    <t>Ruunaoja tänav - projekt</t>
  </si>
  <si>
    <t>Rahvusstaadioni juurdepääsuteed ja parklad - projekt</t>
  </si>
  <si>
    <t>Suur-Sõjamäe tänav (Kesk-Sõjamäe tn - Smuuli tee) - projekt</t>
  </si>
  <si>
    <t>Kiili tänava rekonstrueerimine - projekt</t>
  </si>
  <si>
    <t>Vesivärava tänav (Poska tn - Narva mnt) - projekt</t>
  </si>
  <si>
    <t>Kadaka puiestee (Kadaka tee - Tihniku tn)</t>
  </si>
  <si>
    <t>Kadaka tee (Akadeemia tee - Kadaka pst)</t>
  </si>
  <si>
    <t>Juhkentali tänav (Liivalaia tn - Odra tn)</t>
  </si>
  <si>
    <t>Tulika tänav (Paldiski mnt - Endla tn)</t>
  </si>
  <si>
    <t>Kolde puiestee (Ristiku tn - Sõle tn)</t>
  </si>
  <si>
    <t>Õismäe tee III etapp (Õismäe tee 2 - Paldiski mnt)</t>
  </si>
  <si>
    <t>Õle tänav (Härjapea tn - Kolde pst)</t>
  </si>
  <si>
    <t>kvartalisisesed teed (Väike-Õismäe, Mustamäe jt)</t>
  </si>
  <si>
    <t>Mooni tänav (Paldiski mnt - Endla tn; Koskla tn - Meleka tn)</t>
  </si>
  <si>
    <t>Loitsu tn ja Lummu tn taastusremont</t>
  </si>
  <si>
    <t>Lagle pst rekonstrueerimine</t>
  </si>
  <si>
    <t>järgnevate aastate projekteerimistööd (sh Akadeemia tee 30 juurdepääsutee, Kiili tn parkimisplats jt)</t>
  </si>
  <si>
    <t>Energia tn kõnnitee</t>
  </si>
  <si>
    <t>muud teed ja tänavad</t>
  </si>
  <si>
    <t>Kergliiklusteede rajamine</t>
  </si>
  <si>
    <t>sh Lääne-Tallinna ühendatud kergliiklustee (Akadeemia tee - Ehitajate tee)</t>
  </si>
  <si>
    <t>Tondiraba kergliiklustee</t>
  </si>
  <si>
    <t>Tänavavalgustuse ehitus ja renoveerimine</t>
  </si>
  <si>
    <r>
      <t xml:space="preserve">Foorijuhtimiskeskuse soetused </t>
    </r>
    <r>
      <rPr>
        <sz val="8"/>
        <rFont val="Arial"/>
        <family val="2"/>
        <charset val="186"/>
      </rPr>
      <t>(foorijuhtimise sideseadmed (SHDSL) ja kasutuslitsentsid foorijuhtimise Omnivue tarkvarale)</t>
    </r>
  </si>
  <si>
    <t>Fooriobjektide rajamine ja rekonstrueerimine</t>
  </si>
  <si>
    <t>Kandurite uuendamine</t>
  </si>
  <si>
    <t>Teekünniste rajamine</t>
  </si>
  <si>
    <t>Maade, kinnistute ja asjaõiguste omandamine</t>
  </si>
  <si>
    <t>Geoinfosüsteemide arendamine ja soetused</t>
  </si>
  <si>
    <t>Haldushoonete projekt</t>
  </si>
  <si>
    <t>Linnaarhiivile raamatute soetamine</t>
  </si>
  <si>
    <t>Kaubikbussid linnaasutustele</t>
  </si>
  <si>
    <t>Vabaduse väljak 7 hoone teenindussaali järjekorrasüsteemi printerite soetamine</t>
  </si>
  <si>
    <t>IT riist ja tarkvara soetused</t>
  </si>
  <si>
    <t>Sademevee kanalisatsiooni ehitus</t>
  </si>
  <si>
    <t>III ANTAV SIHTFINANTSEERIMINE INVESTEERIMISTEGEVUSEKS</t>
  </si>
  <si>
    <t>Investeerimistoetused kokku</t>
  </si>
  <si>
    <t>Tallinna Linnahalli rekonstrueerimise projekt</t>
  </si>
  <si>
    <t>Trammide rekonstrueerimine</t>
  </si>
  <si>
    <t>Ootekodade soetamine ja paigaldamine</t>
  </si>
  <si>
    <t>Ühistranspordipeatustes reaalajas infotabloode paigaldamine</t>
  </si>
  <si>
    <t>Rail Balticu terminali lennujaamaga ühendamine ning Kopli suunal trammitee rekonstrueerimine</t>
  </si>
  <si>
    <t>Ühisveevärgi ja kanalisatsiooni ehitus</t>
  </si>
  <si>
    <t>IV ERA- JA AVALIKU SEKTORI KOOSTÖÖPROJEKTID***</t>
  </si>
  <si>
    <t>tegevuskulud</t>
  </si>
  <si>
    <t>finantseerimistehingud</t>
  </si>
  <si>
    <t>Elamumajandus</t>
  </si>
  <si>
    <t>Era- ja avaliku sektori koostööprojektid kokku</t>
  </si>
  <si>
    <t>V ÜLEKANTAVAD KULUTUSED</t>
  </si>
  <si>
    <t>Ülekantavate kulutuste saldo</t>
  </si>
  <si>
    <t>VI MUUDATUSED AKTSIAKAPITALIS</t>
  </si>
  <si>
    <t>Sissemakse aktsiakapitali</t>
  </si>
  <si>
    <t>Tallinna Linnahalli AS</t>
  </si>
  <si>
    <t>Sissemakse osakapitali</t>
  </si>
  <si>
    <t>Tulundusühistu Eesti Ühistupank</t>
  </si>
  <si>
    <t>INVESTEERIMISTEGEVUS KOKKU (I+II+III+IV+V+VI)</t>
  </si>
  <si>
    <t>* Katteallikad:</t>
  </si>
  <si>
    <t>LE - linnaeelarve vahendite arvelt tehtavad kulutused, sisaldavad ka võetavat laenu</t>
  </si>
  <si>
    <t>SE - sihtotstarbeliste eraldiste arvelt tehtavad kulutused</t>
  </si>
  <si>
    <t>RE - riigieelarve vahenditest tehtavad kulutused</t>
  </si>
  <si>
    <t>VR - välisrahastuse arvelt tehtavad kulutused</t>
  </si>
  <si>
    <t>** Sihtotstarbelised eraldised Gustav Adolfi Gümnaasiumi võimlahoone tervikrenoveerimiseks ja sisustuse ostuks.</t>
  </si>
  <si>
    <t>*** Tegevuskulud on kajastatud ka lisas 3 „Kulude eelarve” ja finantseerimistehingud lisas 5 „Finantseerimistegevuse eelarve”.</t>
  </si>
  <si>
    <t>FINANTSEERIMISTEGEVUSE EELARVE</t>
  </si>
  <si>
    <t>Laenukohustuse suurenemine</t>
  </si>
  <si>
    <t>Laenukohustuse vähenemine</t>
  </si>
  <si>
    <t xml:space="preserve">Kapitaliliisingu maksed </t>
  </si>
  <si>
    <t>Teenuste kontsessioonilepingu raames renoveeritud koolid</t>
  </si>
  <si>
    <t>RAHAKÄIBE PROGNOOS</t>
  </si>
  <si>
    <t xml:space="preserve">Laekumised haldustegevusest </t>
  </si>
  <si>
    <t xml:space="preserve"> Tulude laekumine</t>
  </si>
  <si>
    <t>Maksud</t>
  </si>
  <si>
    <t>sh tulumaks</t>
  </si>
  <si>
    <t>maamaks</t>
  </si>
  <si>
    <t>kohalikud maksud</t>
  </si>
  <si>
    <t>Tegevustulud</t>
  </si>
  <si>
    <t xml:space="preserve"> Toetused</t>
  </si>
  <si>
    <t>sh riigilt</t>
  </si>
  <si>
    <t>Väljamaksed haldustegevuseks</t>
  </si>
  <si>
    <t>sh tegevuskulud</t>
  </si>
  <si>
    <t>finantskulud</t>
  </si>
  <si>
    <t xml:space="preserve">Haldustegevus kokku </t>
  </si>
  <si>
    <t xml:space="preserve">Laekumised investeerimistegevusest </t>
  </si>
  <si>
    <t>sh põhivara müük</t>
  </si>
  <si>
    <t>saadud dividendid</t>
  </si>
  <si>
    <t>finantstulud</t>
  </si>
  <si>
    <t>Väljamaksed investeerimistegevuseks</t>
  </si>
  <si>
    <t>sh põhivara soetus</t>
  </si>
  <si>
    <t>sissemakse aktsiakapitali</t>
  </si>
  <si>
    <t xml:space="preserve">Investeerimistegevus kokku </t>
  </si>
  <si>
    <t>Laekumised finantseerimistegevusest</t>
  </si>
  <si>
    <t>sh eelarvelaenu võtmine/võlakirjade emiteerimine</t>
  </si>
  <si>
    <t>Väljamaksed finantseerimistegevuseks</t>
  </si>
  <si>
    <t>sh eelarvelaenu tagastamine/võlakirjade tagasiostmine</t>
  </si>
  <si>
    <t>kapitalirendi põhiosa maksed</t>
  </si>
  <si>
    <t xml:space="preserve">Finantseerimistegevus kokku </t>
  </si>
  <si>
    <t>Laekumised kokku</t>
  </si>
  <si>
    <t>Väljamaksed kokku</t>
  </si>
  <si>
    <t>Laekumiste ja väljamaksete saldo</t>
  </si>
  <si>
    <t>EELARVE KOHALIKU OMAVALITSUSE ÜKSUSE FINANTSJUHTIMISE SEADUSE JÄRGI</t>
  </si>
  <si>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</si>
  <si>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</si>
  <si>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</si>
  <si>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</si>
  <si>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</si>
  <si>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</si>
  <si>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</si>
  <si>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</si>
  <si>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Reservid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</si>
  <si>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</si>
  <si>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</si>
  <si>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</si>
  <si>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</si>
  <si>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</si>
  <si>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</si>
  <si>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Sissemakse aktsiakapitali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</si>
  <si>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</si>
  <si>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</si>
  <si>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</si>
  <si>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</si>
  <si>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</si>
  <si>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</si>
  <si>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</si>
  <si>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</si>
  <si>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KOONDEELARVE</t>
  </si>
  <si>
    <t>TULEMI PROGNOOS</t>
  </si>
  <si>
    <t>TULUD  KOKKU</t>
  </si>
  <si>
    <t>Kaupade ja teenuste müük</t>
  </si>
  <si>
    <t>Vara müük</t>
  </si>
  <si>
    <t>Müüdava vara jääkmaksumus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</si>
  <si>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</si>
  <si>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</si>
  <si>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</si>
  <si>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</si>
  <si>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</si>
  <si>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</si>
  <si>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</si>
  <si>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</si>
  <si>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</si>
  <si>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</si>
  <si>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</si>
  <si>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</si>
  <si>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</si>
  <si>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</si>
  <si>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RAHAS</t>
  </si>
  <si>
    <t>Hoiuste muutus</t>
  </si>
  <si>
    <t>Hoiuste vähenemine</t>
  </si>
  <si>
    <t>MUUTUS FINANTSVARADES (V.A RAHAS)</t>
  </si>
  <si>
    <t>Sissemakse aktsia- ja osakapitali</t>
  </si>
  <si>
    <t>MUUTUS FINANTSVARADES KOKKU</t>
  </si>
  <si>
    <t>MUUTUS NÕUETES KOKKU</t>
  </si>
  <si>
    <t>MUUTUSED KOHUSTUSTES</t>
  </si>
  <si>
    <t>MUUTUS LAENUKOHUSTUSTES KOKKU</t>
  </si>
  <si>
    <t>Laenude võtmine</t>
  </si>
  <si>
    <t>Laenude tagasimaksed</t>
  </si>
  <si>
    <t>Maksed teenuste kontsessioonilepingu raames</t>
  </si>
  <si>
    <t>MUUTUS MUUDES KOHUSTUSTES KOKKU</t>
  </si>
  <si>
    <t>MUUTUS NETOVARAS</t>
  </si>
  <si>
    <t>SISSETULEKUD</t>
  </si>
  <si>
    <t>VÄLJAMINEKUD</t>
  </si>
  <si>
    <t>TULUDE EELARVE</t>
  </si>
  <si>
    <t>Tululiik</t>
  </si>
  <si>
    <t>Maksutulud kokku</t>
  </si>
  <si>
    <t>Tulud kokku (v.a toetused)</t>
  </si>
  <si>
    <t>sh riigilt jm institutsioonidelt</t>
  </si>
  <si>
    <t>välisprojektide kaasfinantseerimine</t>
  </si>
  <si>
    <t>Eelarve kokku</t>
  </si>
  <si>
    <t>KULUDE EELARVE</t>
  </si>
  <si>
    <t>Tallinna Kiirabi meditsiiniseadmete soetamine</t>
  </si>
  <si>
    <t>MUUTUSED VARADES</t>
  </si>
  <si>
    <t>Täpsustatud eelarve arvestab järgmiste õigusaktidega:</t>
  </si>
  <si>
    <t/>
  </si>
  <si>
    <t>Edaspidi</t>
  </si>
  <si>
    <t>Tallinna linna 2016. aasta eelarve (Tallinna Linnavolikogu 17.12.2015 määrus nr 29)</t>
  </si>
  <si>
    <t>Tallinna linna 2016. aasta esimene lisaeelarve (Tallinna Linnavolikogu 02.06.2016 määrus nr 20)</t>
  </si>
  <si>
    <t>Tallinna linna 2016. aasta teine lisaeelarve (Tallinna Linnavolikogu 03.11.2016 määrus nr 24)</t>
  </si>
  <si>
    <t>II lisaeelarve</t>
  </si>
  <si>
    <t>tegevuskulud välisprojektide kaasfinantseerimise arvelt</t>
  </si>
  <si>
    <t>Hoiuste suurenemine</t>
  </si>
  <si>
    <t>Tallinna Loomaaia muud remonttööd ja soetused</t>
  </si>
  <si>
    <t>Vene Kultuurikeskuse I ja II korruse ruumide remont ja tuleohutusnõuete täitmine</t>
  </si>
  <si>
    <t>Jalgpallihalli rajamine Vikerlase tn 16a</t>
  </si>
  <si>
    <t>Löwenruh pargi rekonstrueerimistööde projekteerimine ja tööde alustamine</t>
  </si>
  <si>
    <t>Tallinna Kultuurikatla D-korpuse rekonstrueerimise ettevalmistustööd</t>
  </si>
  <si>
    <t>Mustamäe kiriku rajamine</t>
  </si>
  <si>
    <t>Tallinna Lauluväljaku rekonstrueerimine</t>
  </si>
  <si>
    <t>Toetus MTÜ-le Tallinna Erivajadustega Laste ja Noorte Tugiühing</t>
  </si>
  <si>
    <t>Sotsiaaltöötajate premeerimine</t>
  </si>
  <si>
    <t>Tervishoiutöötajate premeerimine</t>
  </si>
  <si>
    <t>Liinivedu</t>
  </si>
  <si>
    <t>toetus välisprojektide kaasfinantseerimiseks</t>
  </si>
  <si>
    <t>välisprojektide kaasfinantseerimise toetuse arvelt</t>
  </si>
  <si>
    <r>
      <t>Noortekeskus</t>
    </r>
    <r>
      <rPr>
        <sz val="8"/>
        <rFont val="Arial"/>
        <family val="2"/>
        <charset val="186"/>
      </rPr>
      <t xml:space="preserve"> (Kristiine Tegevuskeskus)</t>
    </r>
  </si>
  <si>
    <r>
      <t>Päevakeskuse teenused</t>
    </r>
    <r>
      <rPr>
        <sz val="8"/>
        <rFont val="Arial"/>
        <family val="2"/>
        <charset val="186"/>
      </rPr>
      <t xml:space="preserve"> (Kristiine Tegevuskeskus)</t>
    </r>
  </si>
  <si>
    <r>
      <t>Koduteenused</t>
    </r>
    <r>
      <rPr>
        <sz val="8"/>
        <rFont val="Arial"/>
        <family val="2"/>
        <charset val="186"/>
      </rPr>
      <t xml:space="preserve"> (Kristiine Tegevuskeskus)</t>
    </r>
  </si>
  <si>
    <t>Välisrahastusega projekt "Teisel ringil targaks Tallinna Vanalinna Täiskasvanute Gümnaasiumis" (ü)</t>
  </si>
  <si>
    <t>Välisrahastusega projekt "Teisel ringil targaks Tallinna Täiskasvanute Gümnaasiumis" (ü)</t>
  </si>
  <si>
    <t>Välisrahastusega projekt "Haldusvõimekuse tõstmine ettevõtluse innovaatilisemas arenduses"</t>
  </si>
  <si>
    <t>Välisrahastusega projekt "FinEst Link – Soome-Eesti Transpordiühendus" (ü)</t>
  </si>
  <si>
    <t>Välisrahastusega projekt "FinEstSmartMobility – Helsingi Läänesadama - Tallinna Vanasadama vahelise liikuvuse parandamine nutikate lahenduste abil" (ü)</t>
  </si>
  <si>
    <t>supergraafilised seinapildid korterelamutele (ü)</t>
  </si>
  <si>
    <t>Välisrahastusega projekt "Merirahu kaugkütte võrgupiirkonna soojusmajanduse arengukava koostamine" (ü)</t>
  </si>
  <si>
    <t>Välisrahastusega projekt "GoFEnvEd - Läänemere keskkonnahariduse võrgustik”(ü)</t>
  </si>
  <si>
    <t>Linnaosade valitsuste sotsiaal- ja lastekaitsetöötajate tööprotsesside kaardistamine ja töökorralduse analüüs</t>
  </si>
  <si>
    <t>sh tegevuskuludeks</t>
  </si>
  <si>
    <t>Merirahu kaugkütte võrgupiirkonna soojusmajanduse arengukava koostamine</t>
  </si>
  <si>
    <t>Teisel ringil targaks Tallinna Vanalinna Täiskasvanute Gümnaasiumis</t>
  </si>
  <si>
    <t>Teisel ringil targaks Tallinna Täiskasvanute Gümnaasiumis</t>
  </si>
  <si>
    <t>Haldusvõimekuse tõstmine ettevõtluse innovaatilisemas arenduses</t>
  </si>
  <si>
    <t>FinEst Link - Soome-Eesti Transpordiühendus</t>
  </si>
  <si>
    <t>FinEstSmartMobility - Helsingi Läänesadama - Tallinna Vanasadama vahelise liikuvuse parandamine nutikate lahenduste abil</t>
  </si>
  <si>
    <t>GoFEnvEd - Läänemere keskkonnahariduse võrgustik</t>
  </si>
  <si>
    <t>tasu asutuse sõiduki kasutamise eest</t>
  </si>
  <si>
    <t>tööpraktika juhendamine</t>
  </si>
  <si>
    <t>8.8. Tallinna Laste Turvakeskus</t>
  </si>
  <si>
    <t>8.9. Tallinna Kiirabi</t>
  </si>
  <si>
    <t>tulu müügipiletitest</t>
  </si>
  <si>
    <t>17.2. Kristiine Tegevuskeskus</t>
  </si>
  <si>
    <t>huviringide osalustasu</t>
  </si>
  <si>
    <t>Saastetasu</t>
  </si>
  <si>
    <t>Linnakantselei</t>
  </si>
  <si>
    <t>Kesklinna Valitsuse haldusala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</si>
</sst>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"/>
    <numFmt numFmtId="165" formatCode="#,##0.0"/>
    <numFmt numFmtId="166" formatCode="_-* #,##0.00\ _k_r_-;\-* #,##0.00\ _k_r_-;_-* \-??\ _k_r_-;_-@_-"/>
  </numFmts>
  <fonts count="9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8"/>
      <name val="Arial"/>
      <family val="2"/>
      <charset val="186"/>
    </font>
    <font>
      <i/>
      <sz val="9"/>
      <name val="Arial"/>
      <family val="2"/>
    </font>
    <font>
      <i/>
      <u/>
      <sz val="10"/>
      <name val="Arial"/>
      <family val="2"/>
    </font>
    <font>
      <sz val="9"/>
      <color theme="5" tint="-0.249977111117893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i/>
      <sz val="8"/>
      <color rgb="FF00B050"/>
      <name val="Arial"/>
      <family val="2"/>
      <charset val="186"/>
    </font>
    <font>
      <u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u/>
      <sz val="9"/>
      <name val="Arial"/>
      <family val="2"/>
      <charset val="186"/>
    </font>
    <font>
      <b/>
      <sz val="8"/>
      <name val="Arial"/>
      <family val="2"/>
      <charset val="186"/>
    </font>
    <font>
      <b/>
      <i/>
      <sz val="10"/>
      <color theme="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1"/>
      <color theme="1"/>
      <name val="Arial"/>
      <family val="2"/>
      <charset val="186"/>
    </font>
    <font>
      <sz val="9"/>
      <name val="Arial"/>
      <family val="2"/>
    </font>
    <font>
      <b/>
      <u/>
      <sz val="9"/>
      <name val="Arial"/>
      <family val="2"/>
      <charset val="186"/>
    </font>
    <font>
      <sz val="8"/>
      <color theme="3"/>
      <name val="Arial"/>
      <family val="2"/>
      <charset val="186"/>
    </font>
    <font>
      <b/>
      <sz val="10"/>
      <color indexed="10"/>
      <name val="Arial"/>
      <family val="2"/>
      <charset val="186"/>
    </font>
    <font>
      <u/>
      <sz val="10"/>
      <name val="Arial"/>
      <family val="2"/>
    </font>
    <font>
      <sz val="11"/>
      <name val="Arial"/>
      <family val="2"/>
      <charset val="186"/>
    </font>
    <font>
      <u/>
      <sz val="10"/>
      <color theme="10"/>
      <name val="Arial"/>
      <family val="2"/>
      <charset val="186"/>
    </font>
    <font>
      <sz val="10"/>
      <color rgb="FF00B050"/>
      <name val="Arial"/>
      <family val="2"/>
      <charset val="186"/>
    </font>
    <font>
      <i/>
      <sz val="9"/>
      <color rgb="FF00B050"/>
      <name val="Arial"/>
      <family val="2"/>
      <charset val="186"/>
    </font>
    <font>
      <b/>
      <sz val="10"/>
      <color rgb="FF00B050"/>
      <name val="Arial"/>
      <family val="2"/>
      <charset val="186"/>
    </font>
    <font>
      <i/>
      <sz val="10"/>
      <color rgb="FF00B050"/>
      <name val="Arial"/>
      <family val="2"/>
      <charset val="186"/>
    </font>
    <font>
      <sz val="8"/>
      <color theme="3" tint="0.39997558519241921"/>
      <name val="Arial"/>
      <family val="2"/>
      <charset val="186"/>
    </font>
    <font>
      <sz val="9"/>
      <color rgb="FF202020"/>
      <name val="Inherit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30" fillId="0" borderId="0"/>
    <xf numFmtId="0" fontId="40" fillId="0" borderId="0"/>
    <xf numFmtId="0" fontId="41" fillId="0" borderId="0"/>
    <xf numFmtId="0" fontId="41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47" fillId="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2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54" fillId="23" borderId="7" applyNumberFormat="0" applyFont="0" applyAlignment="0" applyProtection="0"/>
    <xf numFmtId="0" fontId="66" fillId="20" borderId="8" applyNumberFormat="0" applyAlignment="0" applyProtection="0"/>
    <xf numFmtId="9" fontId="4" fillId="0" borderId="0" applyFont="0" applyFill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2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53" fillId="0" borderId="0"/>
    <xf numFmtId="0" fontId="3" fillId="0" borderId="0"/>
    <xf numFmtId="0" fontId="4" fillId="0" borderId="0"/>
    <xf numFmtId="0" fontId="30" fillId="0" borderId="0"/>
    <xf numFmtId="0" fontId="40" fillId="0" borderId="0"/>
    <xf numFmtId="0" fontId="85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1" fillId="0" borderId="0"/>
  </cellStyleXfs>
  <cellXfs count="682">
    <xf numFmtId="0" fontId="0" fillId="0" borderId="0" xfId="0"/>
    <xf numFmtId="0" fontId="25" fillId="0" borderId="0" xfId="0" applyFont="1" applyFill="1" applyBorder="1"/>
    <xf numFmtId="0" fontId="19" fillId="0" borderId="0" xfId="0" applyFont="1" applyFill="1" applyBorder="1"/>
    <xf numFmtId="0" fontId="26" fillId="0" borderId="0" xfId="0" applyFont="1" applyFill="1"/>
    <xf numFmtId="0" fontId="4" fillId="0" borderId="0" xfId="0" applyFont="1" applyFill="1"/>
    <xf numFmtId="3" fontId="26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3" fontId="25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26" fillId="0" borderId="0" xfId="0" applyNumberFormat="1" applyFont="1" applyFill="1" applyAlignment="1"/>
    <xf numFmtId="0" fontId="4" fillId="0" borderId="0" xfId="0" applyFont="1"/>
    <xf numFmtId="0" fontId="26" fillId="0" borderId="0" xfId="0" applyFont="1" applyFill="1" applyBorder="1"/>
    <xf numFmtId="0" fontId="19" fillId="0" borderId="0" xfId="0" applyFont="1" applyFill="1" applyBorder="1" applyAlignment="1">
      <alignment horizontal="left" indent="1"/>
    </xf>
    <xf numFmtId="2" fontId="27" fillId="0" borderId="0" xfId="0" applyNumberFormat="1" applyFont="1" applyFill="1" applyBorder="1" applyAlignment="1">
      <alignment horizontal="left" indent="2"/>
    </xf>
    <xf numFmtId="0" fontId="31" fillId="0" borderId="0" xfId="0" applyFont="1" applyFill="1" applyBorder="1"/>
    <xf numFmtId="0" fontId="4" fillId="0" borderId="0" xfId="0" applyFont="1" applyFill="1" applyBorder="1"/>
    <xf numFmtId="0" fontId="37" fillId="0" borderId="0" xfId="0" applyFont="1" applyFill="1" applyBorder="1"/>
    <xf numFmtId="3" fontId="37" fillId="0" borderId="0" xfId="0" applyNumberFormat="1" applyFont="1" applyFill="1" applyBorder="1"/>
    <xf numFmtId="3" fontId="4" fillId="0" borderId="0" xfId="0" applyNumberFormat="1" applyFont="1" applyFill="1" applyBorder="1"/>
    <xf numFmtId="3" fontId="27" fillId="0" borderId="0" xfId="0" applyNumberFormat="1" applyFont="1" applyFill="1" applyBorder="1"/>
    <xf numFmtId="0" fontId="38" fillId="0" borderId="0" xfId="0" applyFont="1" applyFill="1" applyBorder="1"/>
    <xf numFmtId="3" fontId="38" fillId="0" borderId="0" xfId="0" applyNumberFormat="1" applyFont="1" applyFill="1" applyBorder="1"/>
    <xf numFmtId="0" fontId="39" fillId="0" borderId="0" xfId="0" applyFont="1" applyFill="1" applyBorder="1" applyAlignment="1">
      <alignment horizontal="left" indent="2"/>
    </xf>
    <xf numFmtId="2" fontId="39" fillId="0" borderId="0" xfId="0" applyNumberFormat="1" applyFont="1" applyFill="1" applyBorder="1" applyAlignment="1">
      <alignment horizontal="left" indent="2"/>
    </xf>
    <xf numFmtId="165" fontId="31" fillId="0" borderId="0" xfId="40" applyNumberFormat="1" applyFont="1" applyFill="1" applyBorder="1" applyAlignment="1">
      <alignment horizontal="left" wrapText="1"/>
    </xf>
    <xf numFmtId="0" fontId="27" fillId="0" borderId="0" xfId="40" applyNumberFormat="1" applyFont="1" applyFill="1" applyBorder="1" applyAlignment="1" applyProtection="1">
      <alignment horizontal="left" vertical="top" wrapText="1" indent="2"/>
    </xf>
    <xf numFmtId="0" fontId="32" fillId="0" borderId="0" xfId="40" applyFont="1" applyFill="1" applyBorder="1" applyAlignment="1" applyProtection="1">
      <alignment horizontal="left" vertical="top" indent="1"/>
    </xf>
    <xf numFmtId="0" fontId="34" fillId="0" borderId="0" xfId="40" applyNumberFormat="1" applyFont="1" applyFill="1" applyBorder="1" applyAlignment="1">
      <alignment horizontal="left"/>
    </xf>
    <xf numFmtId="0" fontId="27" fillId="0" borderId="0" xfId="40" applyNumberFormat="1" applyFont="1" applyFill="1" applyBorder="1" applyAlignment="1" applyProtection="1">
      <alignment horizontal="left" indent="1"/>
    </xf>
    <xf numFmtId="0" fontId="27" fillId="0" borderId="0" xfId="40" applyNumberFormat="1" applyFont="1" applyFill="1" applyBorder="1" applyAlignment="1" applyProtection="1">
      <alignment horizontal="left" indent="2"/>
    </xf>
    <xf numFmtId="0" fontId="44" fillId="0" borderId="0" xfId="0" applyFont="1" applyBorder="1"/>
    <xf numFmtId="0" fontId="44" fillId="0" borderId="0" xfId="0" applyFont="1" applyBorder="1" applyAlignment="1">
      <alignment wrapText="1"/>
    </xf>
    <xf numFmtId="0" fontId="24" fillId="0" borderId="0" xfId="0" applyFont="1" applyBorder="1"/>
    <xf numFmtId="3" fontId="4" fillId="0" borderId="0" xfId="0" applyNumberFormat="1" applyFont="1"/>
    <xf numFmtId="0" fontId="45" fillId="0" borderId="0" xfId="0" applyFont="1" applyFill="1" applyBorder="1"/>
    <xf numFmtId="3" fontId="35" fillId="0" borderId="0" xfId="0" applyNumberFormat="1" applyFont="1" applyBorder="1" applyAlignment="1"/>
    <xf numFmtId="3" fontId="19" fillId="0" borderId="0" xfId="0" applyNumberFormat="1" applyFont="1" applyBorder="1" applyAlignment="1"/>
    <xf numFmtId="3" fontId="26" fillId="0" borderId="0" xfId="0" applyNumberFormat="1" applyFont="1" applyBorder="1" applyAlignment="1"/>
    <xf numFmtId="0" fontId="44" fillId="0" borderId="0" xfId="0" applyFont="1" applyBorder="1" applyAlignment="1">
      <alignment horizontal="left" wrapText="1"/>
    </xf>
    <xf numFmtId="3" fontId="44" fillId="0" borderId="0" xfId="0" applyNumberFormat="1" applyFont="1" applyBorder="1" applyAlignment="1"/>
    <xf numFmtId="0" fontId="24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Border="1"/>
    <xf numFmtId="3" fontId="44" fillId="0" borderId="0" xfId="0" applyNumberFormat="1" applyFont="1" applyBorder="1" applyAlignment="1">
      <alignment vertical="top"/>
    </xf>
    <xf numFmtId="3" fontId="0" fillId="0" borderId="0" xfId="0" applyNumberFormat="1" applyFill="1" applyBorder="1"/>
    <xf numFmtId="0" fontId="38" fillId="0" borderId="0" xfId="0" applyFont="1" applyFill="1" applyBorder="1" applyAlignment="1">
      <alignment horizontal="left" indent="1"/>
    </xf>
    <xf numFmtId="0" fontId="44" fillId="0" borderId="0" xfId="0" applyFont="1" applyBorder="1" applyAlignment="1">
      <alignment horizontal="left" indent="4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38" fillId="0" borderId="0" xfId="0" applyFont="1" applyFill="1"/>
    <xf numFmtId="0" fontId="44" fillId="0" borderId="0" xfId="0" applyFont="1" applyFill="1" applyBorder="1" applyAlignment="1">
      <alignment wrapText="1"/>
    </xf>
    <xf numFmtId="3" fontId="4" fillId="0" borderId="0" xfId="0" applyNumberFormat="1" applyFont="1" applyFill="1"/>
    <xf numFmtId="3" fontId="39" fillId="0" borderId="0" xfId="0" applyNumberFormat="1" applyFont="1" applyFill="1" applyBorder="1"/>
    <xf numFmtId="3" fontId="0" fillId="0" borderId="0" xfId="0" applyNumberFormat="1" applyBorder="1"/>
    <xf numFmtId="0" fontId="4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 indent="2"/>
    </xf>
    <xf numFmtId="0" fontId="44" fillId="0" borderId="0" xfId="0" applyFont="1" applyBorder="1" applyAlignment="1">
      <alignment horizontal="left" indent="3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Border="1" applyAlignment="1"/>
    <xf numFmtId="0" fontId="4" fillId="0" borderId="0" xfId="0" applyFont="1" applyFill="1" applyBorder="1" applyAlignment="1" applyProtection="1">
      <alignment horizontal="left" vertical="top" wrapText="1" indent="4"/>
      <protection locked="0"/>
    </xf>
    <xf numFmtId="49" fontId="44" fillId="0" borderId="0" xfId="0" applyNumberFormat="1" applyFont="1" applyBorder="1" applyAlignment="1">
      <alignment wrapText="1"/>
    </xf>
    <xf numFmtId="0" fontId="24" fillId="0" borderId="0" xfId="39" applyNumberFormat="1" applyFont="1" applyFill="1" applyBorder="1" applyAlignment="1" applyProtection="1">
      <alignment horizontal="left" vertical="top" wrapText="1" indent="4"/>
    </xf>
    <xf numFmtId="0" fontId="34" fillId="0" borderId="0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left" vertical="top"/>
    </xf>
    <xf numFmtId="0" fontId="27" fillId="0" borderId="0" xfId="40" applyFont="1" applyFill="1" applyBorder="1" applyAlignment="1" applyProtection="1">
      <alignment horizontal="left" vertical="top" indent="1"/>
    </xf>
    <xf numFmtId="0" fontId="26" fillId="0" borderId="0" xfId="40" applyFont="1" applyFill="1" applyBorder="1" applyAlignment="1">
      <alignment horizontal="left" vertical="top"/>
    </xf>
    <xf numFmtId="0" fontId="27" fillId="0" borderId="0" xfId="40" applyFont="1" applyFill="1" applyBorder="1" applyAlignment="1" applyProtection="1">
      <alignment horizontal="left" vertical="top" indent="2"/>
    </xf>
    <xf numFmtId="0" fontId="35" fillId="0" borderId="0" xfId="40" applyFont="1" applyFill="1" applyBorder="1" applyAlignment="1" applyProtection="1">
      <alignment horizontal="left" vertical="top"/>
    </xf>
    <xf numFmtId="3" fontId="4" fillId="0" borderId="0" xfId="42" applyNumberFormat="1" applyFont="1" applyFill="1" applyBorder="1" applyAlignment="1">
      <alignment horizontal="right" vertical="top"/>
    </xf>
    <xf numFmtId="0" fontId="42" fillId="0" borderId="0" xfId="40" applyFont="1" applyFill="1" applyBorder="1" applyAlignment="1" applyProtection="1">
      <alignment horizontal="left" vertical="top" indent="1"/>
    </xf>
    <xf numFmtId="0" fontId="27" fillId="0" borderId="0" xfId="40" applyFont="1" applyFill="1" applyBorder="1" applyAlignment="1" applyProtection="1">
      <alignment horizontal="left" vertical="top"/>
    </xf>
    <xf numFmtId="0" fontId="35" fillId="0" borderId="0" xfId="42" applyFont="1" applyFill="1" applyBorder="1" applyAlignment="1">
      <alignment horizontal="left" vertical="top"/>
    </xf>
    <xf numFmtId="49" fontId="34" fillId="0" borderId="0" xfId="40" applyNumberFormat="1" applyFont="1" applyFill="1" applyBorder="1" applyAlignment="1">
      <alignment horizontal="left" vertical="top"/>
    </xf>
    <xf numFmtId="0" fontId="26" fillId="0" borderId="0" xfId="42" applyNumberFormat="1" applyFont="1" applyFill="1" applyBorder="1" applyAlignment="1">
      <alignment horizontal="left" vertical="top"/>
    </xf>
    <xf numFmtId="0" fontId="35" fillId="0" borderId="0" xfId="42" applyNumberFormat="1" applyFont="1" applyFill="1" applyBorder="1" applyAlignment="1">
      <alignment horizontal="left" vertical="top"/>
    </xf>
    <xf numFmtId="0" fontId="42" fillId="0" borderId="0" xfId="40" applyNumberFormat="1" applyFont="1" applyFill="1" applyBorder="1" applyAlignment="1" applyProtection="1">
      <alignment horizontal="left" vertical="top" indent="1"/>
    </xf>
    <xf numFmtId="0" fontId="35" fillId="0" borderId="0" xfId="42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wrapText="1" indent="2"/>
    </xf>
    <xf numFmtId="0" fontId="42" fillId="0" borderId="0" xfId="40" applyNumberFormat="1" applyFont="1" applyFill="1" applyBorder="1" applyAlignment="1" applyProtection="1">
      <alignment horizontal="left" vertical="top" indent="2"/>
    </xf>
    <xf numFmtId="0" fontId="35" fillId="0" borderId="0" xfId="40" applyNumberFormat="1" applyFont="1" applyFill="1" applyBorder="1" applyAlignment="1" applyProtection="1">
      <alignment horizontal="left" vertical="top"/>
    </xf>
    <xf numFmtId="0" fontId="42" fillId="0" borderId="0" xfId="40" applyNumberFormat="1" applyFont="1" applyFill="1" applyBorder="1" applyAlignment="1" applyProtection="1">
      <alignment horizontal="left" vertical="top" wrapText="1" indent="1"/>
    </xf>
    <xf numFmtId="0" fontId="42" fillId="0" borderId="0" xfId="40" applyNumberFormat="1" applyFont="1" applyFill="1" applyBorder="1" applyAlignment="1" applyProtection="1">
      <alignment horizontal="left" vertical="top" indent="3"/>
    </xf>
    <xf numFmtId="3" fontId="4" fillId="0" borderId="0" xfId="40" applyNumberFormat="1" applyFont="1" applyFill="1" applyBorder="1" applyAlignment="1" applyProtection="1">
      <alignment horizontal="right" vertical="top"/>
    </xf>
    <xf numFmtId="0" fontId="35" fillId="0" borderId="0" xfId="40" applyNumberFormat="1" applyFont="1" applyFill="1" applyBorder="1" applyAlignment="1" applyProtection="1">
      <alignment horizontal="left" vertical="top" wrapText="1"/>
    </xf>
    <xf numFmtId="3" fontId="42" fillId="0" borderId="0" xfId="40" applyNumberFormat="1" applyFont="1" applyFill="1" applyBorder="1" applyAlignment="1" applyProtection="1">
      <alignment horizontal="right" vertical="top"/>
    </xf>
    <xf numFmtId="0" fontId="42" fillId="0" borderId="0" xfId="40" applyNumberFormat="1" applyFont="1" applyFill="1" applyBorder="1" applyAlignment="1" applyProtection="1">
      <alignment horizontal="left" vertical="top" wrapText="1" indent="2"/>
    </xf>
    <xf numFmtId="0" fontId="34" fillId="0" borderId="0" xfId="40" applyNumberFormat="1" applyFont="1" applyFill="1" applyBorder="1" applyAlignment="1">
      <alignment horizontal="left" vertical="top"/>
    </xf>
    <xf numFmtId="0" fontId="26" fillId="0" borderId="0" xfId="40" applyNumberFormat="1" applyFont="1" applyFill="1" applyBorder="1" applyAlignment="1" applyProtection="1">
      <alignment horizontal="left" vertical="top"/>
    </xf>
    <xf numFmtId="0" fontId="26" fillId="0" borderId="0" xfId="40" applyNumberFormat="1" applyFont="1" applyFill="1" applyBorder="1" applyAlignment="1">
      <alignment horizontal="left" vertical="top"/>
    </xf>
    <xf numFmtId="0" fontId="27" fillId="0" borderId="0" xfId="40" applyNumberFormat="1" applyFont="1" applyFill="1" applyBorder="1" applyAlignment="1" applyProtection="1">
      <alignment horizontal="left" vertical="top" indent="1"/>
    </xf>
    <xf numFmtId="0" fontId="27" fillId="0" borderId="0" xfId="40" applyNumberFormat="1" applyFont="1" applyFill="1" applyBorder="1" applyAlignment="1" applyProtection="1">
      <alignment horizontal="left" vertical="top" indent="2"/>
    </xf>
    <xf numFmtId="0" fontId="4" fillId="0" borderId="0" xfId="34" applyNumberFormat="1" applyFont="1" applyFill="1" applyBorder="1" applyAlignment="1" applyProtection="1">
      <alignment horizontal="left" vertical="top" wrapText="1" indent="2"/>
    </xf>
    <xf numFmtId="0" fontId="34" fillId="0" borderId="0" xfId="40" applyNumberFormat="1" applyFont="1" applyFill="1" applyBorder="1" applyAlignment="1" applyProtection="1">
      <alignment horizontal="left" vertical="top"/>
    </xf>
    <xf numFmtId="3" fontId="31" fillId="0" borderId="0" xfId="40" applyNumberFormat="1" applyFont="1" applyFill="1" applyBorder="1" applyAlignment="1">
      <alignment horizontal="right" vertical="top" wrapText="1"/>
    </xf>
    <xf numFmtId="0" fontId="4" fillId="0" borderId="0" xfId="40" applyNumberFormat="1" applyFont="1" applyFill="1" applyBorder="1" applyAlignment="1">
      <alignment horizontal="left" vertical="top"/>
    </xf>
    <xf numFmtId="3" fontId="26" fillId="0" borderId="0" xfId="40" applyNumberFormat="1" applyFont="1" applyFill="1" applyBorder="1" applyAlignment="1" applyProtection="1">
      <alignment horizontal="right" vertical="top"/>
    </xf>
    <xf numFmtId="3" fontId="27" fillId="0" borderId="0" xfId="40" applyNumberFormat="1" applyFont="1" applyFill="1" applyBorder="1" applyAlignment="1" applyProtection="1">
      <alignment horizontal="right" vertical="top"/>
    </xf>
    <xf numFmtId="3" fontId="42" fillId="0" borderId="0" xfId="40" applyNumberFormat="1" applyFont="1" applyFill="1" applyBorder="1" applyAlignment="1">
      <alignment horizontal="right" vertical="top"/>
    </xf>
    <xf numFmtId="0" fontId="36" fillId="0" borderId="0" xfId="34" quotePrefix="1" applyNumberFormat="1" applyFont="1" applyFill="1" applyBorder="1" applyAlignment="1" applyProtection="1">
      <alignment horizontal="left" vertical="top" wrapText="1" indent="1"/>
    </xf>
    <xf numFmtId="0" fontId="4" fillId="0" borderId="0" xfId="34" applyNumberFormat="1" applyFont="1" applyFill="1" applyBorder="1" applyAlignment="1" applyProtection="1">
      <alignment horizontal="left" vertical="top" wrapText="1"/>
    </xf>
    <xf numFmtId="0" fontId="24" fillId="0" borderId="0" xfId="34" applyNumberFormat="1" applyFont="1" applyFill="1" applyBorder="1" applyAlignment="1" applyProtection="1">
      <alignment horizontal="left" vertical="top" wrapText="1" indent="3"/>
    </xf>
    <xf numFmtId="0" fontId="42" fillId="0" borderId="0" xfId="40" applyNumberFormat="1" applyFont="1" applyFill="1" applyBorder="1" applyAlignment="1" applyProtection="1">
      <alignment horizontal="left" vertical="top" indent="4"/>
    </xf>
    <xf numFmtId="0" fontId="36" fillId="0" borderId="0" xfId="40" quotePrefix="1" applyNumberFormat="1" applyFont="1" applyFill="1" applyBorder="1" applyAlignment="1" applyProtection="1">
      <alignment horizontal="left" indent="1"/>
    </xf>
    <xf numFmtId="3" fontId="26" fillId="0" borderId="0" xfId="42" applyNumberFormat="1" applyFont="1" applyFill="1" applyBorder="1" applyAlignment="1">
      <alignment horizontal="right" vertical="top"/>
    </xf>
    <xf numFmtId="0" fontId="36" fillId="0" borderId="0" xfId="40" applyNumberFormat="1" applyFont="1" applyFill="1" applyBorder="1" applyAlignment="1" applyProtection="1">
      <alignment horizontal="left" vertical="top" indent="1"/>
    </xf>
    <xf numFmtId="0" fontId="4" fillId="0" borderId="0" xfId="40" applyNumberFormat="1" applyFont="1" applyFill="1" applyBorder="1" applyAlignment="1" applyProtection="1">
      <alignment horizontal="left" vertical="top" indent="1"/>
    </xf>
    <xf numFmtId="0" fontId="36" fillId="0" borderId="0" xfId="40" applyNumberFormat="1" applyFont="1" applyFill="1" applyBorder="1" applyAlignment="1" applyProtection="1">
      <alignment horizontal="left" vertical="top" indent="3"/>
    </xf>
    <xf numFmtId="0" fontId="24" fillId="0" borderId="0" xfId="40" applyNumberFormat="1" applyFont="1" applyFill="1" applyBorder="1" applyAlignment="1" applyProtection="1">
      <alignment horizontal="left" vertical="top" indent="4"/>
    </xf>
    <xf numFmtId="0" fontId="36" fillId="0" borderId="0" xfId="40" applyNumberFormat="1" applyFont="1" applyFill="1" applyBorder="1" applyAlignment="1" applyProtection="1">
      <alignment horizontal="left" vertical="top" wrapText="1" indent="1"/>
    </xf>
    <xf numFmtId="0" fontId="24" fillId="0" borderId="0" xfId="40" applyNumberFormat="1" applyFont="1" applyFill="1" applyBorder="1" applyAlignment="1" applyProtection="1">
      <alignment horizontal="left" vertical="top" wrapText="1" indent="2"/>
    </xf>
    <xf numFmtId="0" fontId="35" fillId="0" borderId="0" xfId="39" applyNumberFormat="1" applyFont="1" applyFill="1" applyBorder="1" applyAlignment="1" applyProtection="1">
      <alignment horizontal="left" vertical="top" wrapText="1"/>
    </xf>
    <xf numFmtId="0" fontId="32" fillId="0" borderId="0" xfId="40" applyNumberFormat="1" applyFont="1" applyFill="1" applyBorder="1" applyAlignment="1" applyProtection="1">
      <alignment horizontal="left" vertical="top"/>
    </xf>
    <xf numFmtId="0" fontId="24" fillId="0" borderId="0" xfId="40" applyNumberFormat="1" applyFont="1" applyFill="1" applyBorder="1" applyAlignment="1" applyProtection="1">
      <alignment horizontal="left" vertical="top" indent="2"/>
    </xf>
    <xf numFmtId="0" fontId="24" fillId="0" borderId="0" xfId="40" applyNumberFormat="1" applyFont="1" applyFill="1" applyBorder="1" applyAlignment="1" applyProtection="1">
      <alignment horizontal="left" vertical="top" indent="1"/>
    </xf>
    <xf numFmtId="0" fontId="35" fillId="0" borderId="0" xfId="40" applyFont="1" applyFill="1" applyBorder="1" applyAlignment="1" applyProtection="1">
      <alignment horizontal="left" vertical="top" wrapText="1"/>
    </xf>
    <xf numFmtId="0" fontId="31" fillId="0" borderId="0" xfId="40" applyNumberFormat="1" applyFont="1" applyFill="1" applyBorder="1" applyAlignment="1" applyProtection="1">
      <alignment horizontal="left" vertical="top"/>
    </xf>
    <xf numFmtId="0" fontId="33" fillId="0" borderId="0" xfId="40" applyNumberFormat="1" applyFont="1" applyFill="1" applyBorder="1" applyAlignment="1" applyProtection="1">
      <alignment horizontal="left" vertical="top" indent="1"/>
    </xf>
    <xf numFmtId="0" fontId="24" fillId="0" borderId="0" xfId="40" applyNumberFormat="1" applyFont="1" applyFill="1" applyBorder="1" applyAlignment="1" applyProtection="1">
      <alignment horizontal="left" vertical="top" indent="3"/>
    </xf>
    <xf numFmtId="0" fontId="24" fillId="0" borderId="0" xfId="42" applyNumberFormat="1" applyFont="1" applyFill="1" applyBorder="1" applyAlignment="1">
      <alignment horizontal="left" vertical="top" indent="1"/>
    </xf>
    <xf numFmtId="0" fontId="27" fillId="0" borderId="0" xfId="40" applyNumberFormat="1" applyFont="1" applyFill="1" applyBorder="1" applyAlignment="1" applyProtection="1">
      <alignment horizontal="left" vertical="top"/>
    </xf>
    <xf numFmtId="49" fontId="36" fillId="0" borderId="0" xfId="42" applyNumberFormat="1" applyFont="1" applyFill="1" applyBorder="1" applyAlignment="1">
      <alignment horizontal="left" wrapText="1" indent="1"/>
    </xf>
    <xf numFmtId="0" fontId="24" fillId="0" borderId="0" xfId="40" applyNumberFormat="1" applyFont="1" applyFill="1" applyBorder="1" applyAlignment="1" applyProtection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wrapText="1" indent="2"/>
    </xf>
    <xf numFmtId="0" fontId="27" fillId="0" borderId="0" xfId="40" applyNumberFormat="1" applyFont="1" applyFill="1" applyBorder="1" applyAlignment="1" applyProtection="1">
      <alignment horizontal="left"/>
    </xf>
    <xf numFmtId="0" fontId="36" fillId="0" borderId="0" xfId="40" applyNumberFormat="1" applyFont="1" applyFill="1" applyBorder="1" applyAlignment="1" applyProtection="1">
      <alignment horizontal="left" vertical="top" indent="2"/>
    </xf>
    <xf numFmtId="0" fontId="24" fillId="0" borderId="0" xfId="40" applyNumberFormat="1" applyFont="1" applyFill="1" applyBorder="1" applyAlignment="1" applyProtection="1">
      <alignment horizontal="left" vertical="top" indent="5"/>
    </xf>
    <xf numFmtId="0" fontId="35" fillId="0" borderId="0" xfId="41" applyNumberFormat="1" applyFont="1" applyFill="1" applyBorder="1" applyAlignment="1">
      <alignment horizontal="left" vertical="top"/>
    </xf>
    <xf numFmtId="0" fontId="31" fillId="0" borderId="0" xfId="42" applyNumberFormat="1" applyFont="1" applyFill="1" applyBorder="1" applyAlignment="1">
      <alignment horizontal="left" vertical="top"/>
    </xf>
    <xf numFmtId="0" fontId="42" fillId="0" borderId="0" xfId="40" applyNumberFormat="1" applyFont="1" applyFill="1" applyBorder="1" applyAlignment="1" applyProtection="1">
      <alignment horizontal="left" vertical="top" wrapText="1" indent="3"/>
    </xf>
    <xf numFmtId="0" fontId="33" fillId="0" borderId="0" xfId="40" applyNumberFormat="1" applyFont="1" applyFill="1" applyBorder="1" applyAlignment="1" applyProtection="1">
      <alignment horizontal="left" vertical="top" wrapText="1" indent="1"/>
    </xf>
    <xf numFmtId="0" fontId="26" fillId="0" borderId="0" xfId="40" applyNumberFormat="1" applyFont="1" applyFill="1" applyBorder="1" applyAlignment="1" applyProtection="1">
      <alignment horizontal="left" vertical="top" indent="2"/>
    </xf>
    <xf numFmtId="0" fontId="4" fillId="0" borderId="0" xfId="40" applyNumberFormat="1" applyFont="1" applyFill="1" applyBorder="1" applyAlignment="1" applyProtection="1">
      <alignment horizontal="left" vertical="top" indent="2"/>
    </xf>
    <xf numFmtId="0" fontId="4" fillId="0" borderId="0" xfId="34" applyNumberFormat="1" applyFont="1" applyFill="1" applyBorder="1" applyAlignment="1" applyProtection="1">
      <alignment horizontal="left" vertical="top" wrapText="1" indent="3"/>
    </xf>
    <xf numFmtId="0" fontId="36" fillId="0" borderId="0" xfId="42" quotePrefix="1" applyNumberFormat="1" applyFont="1" applyFill="1" applyBorder="1" applyAlignment="1">
      <alignment horizontal="left" vertical="top" wrapText="1" indent="1"/>
    </xf>
    <xf numFmtId="0" fontId="26" fillId="0" borderId="0" xfId="42" applyNumberFormat="1" applyFont="1" applyFill="1" applyBorder="1" applyAlignment="1">
      <alignment horizontal="left" vertical="top" wrapText="1"/>
    </xf>
    <xf numFmtId="0" fontId="35" fillId="0" borderId="0" xfId="40" applyNumberFormat="1" applyFont="1" applyFill="1" applyBorder="1" applyAlignment="1">
      <alignment horizontal="left" vertical="top" wrapText="1"/>
    </xf>
    <xf numFmtId="0" fontId="24" fillId="0" borderId="0" xfId="40" applyNumberFormat="1" applyFont="1" applyFill="1" applyBorder="1" applyAlignment="1" applyProtection="1">
      <alignment horizontal="left" vertical="top" wrapText="1" indent="4"/>
    </xf>
    <xf numFmtId="0" fontId="24" fillId="0" borderId="0" xfId="42" applyFont="1" applyFill="1" applyBorder="1" applyAlignment="1">
      <alignment horizontal="left" vertical="top" wrapText="1" indent="3"/>
    </xf>
    <xf numFmtId="0" fontId="26" fillId="0" borderId="0" xfId="42" applyFont="1" applyFill="1" applyBorder="1" applyAlignment="1">
      <alignment horizontal="left" vertical="top"/>
    </xf>
    <xf numFmtId="0" fontId="36" fillId="0" borderId="0" xfId="40" applyFont="1" applyFill="1" applyBorder="1" applyAlignment="1" applyProtection="1">
      <alignment horizontal="left" vertical="top" indent="1"/>
    </xf>
    <xf numFmtId="0" fontId="36" fillId="0" borderId="0" xfId="34" quotePrefix="1" applyNumberFormat="1" applyFont="1" applyFill="1" applyBorder="1" applyAlignment="1" applyProtection="1">
      <alignment horizontal="left" vertical="top" wrapText="1"/>
    </xf>
    <xf numFmtId="0" fontId="36" fillId="0" borderId="0" xfId="40" applyNumberFormat="1" applyFont="1" applyFill="1" applyBorder="1" applyAlignment="1" applyProtection="1">
      <alignment horizontal="left" vertical="top" wrapText="1" indent="4"/>
    </xf>
    <xf numFmtId="0" fontId="36" fillId="0" borderId="0" xfId="42" applyNumberFormat="1" applyFont="1" applyFill="1" applyBorder="1" applyAlignment="1">
      <alignment horizontal="left" vertical="top" wrapText="1" indent="1"/>
    </xf>
    <xf numFmtId="0" fontId="36" fillId="0" borderId="0" xfId="42" quotePrefix="1" applyNumberFormat="1" applyFont="1" applyFill="1" applyBorder="1" applyAlignment="1">
      <alignment horizontal="left" wrapText="1" indent="1"/>
    </xf>
    <xf numFmtId="3" fontId="26" fillId="0" borderId="0" xfId="40" applyNumberFormat="1" applyFont="1" applyFill="1" applyBorder="1" applyAlignment="1">
      <alignment horizontal="right" vertical="top"/>
    </xf>
    <xf numFmtId="3" fontId="4" fillId="0" borderId="0" xfId="40" applyNumberFormat="1" applyFont="1" applyFill="1" applyBorder="1" applyAlignment="1">
      <alignment horizontal="right" vertical="top"/>
    </xf>
    <xf numFmtId="3" fontId="27" fillId="0" borderId="0" xfId="40" applyNumberFormat="1" applyFont="1" applyFill="1" applyBorder="1" applyAlignment="1">
      <alignment horizontal="right" vertical="top"/>
    </xf>
    <xf numFmtId="3" fontId="4" fillId="0" borderId="0" xfId="42" applyNumberFormat="1" applyFont="1" applyFill="1" applyBorder="1" applyAlignment="1">
      <alignment horizontal="right"/>
    </xf>
    <xf numFmtId="3" fontId="4" fillId="0" borderId="0" xfId="40" applyNumberFormat="1" applyFont="1" applyFill="1" applyAlignment="1">
      <alignment horizontal="right" vertical="top"/>
    </xf>
    <xf numFmtId="3" fontId="27" fillId="0" borderId="0" xfId="40" applyNumberFormat="1" applyFont="1" applyFill="1" applyBorder="1" applyAlignment="1">
      <alignment horizontal="right"/>
    </xf>
    <xf numFmtId="3" fontId="27" fillId="0" borderId="0" xfId="42" applyNumberFormat="1" applyFont="1" applyFill="1" applyBorder="1" applyAlignment="1">
      <alignment horizontal="right" vertical="top"/>
    </xf>
    <xf numFmtId="3" fontId="31" fillId="0" borderId="0" xfId="40" applyNumberFormat="1" applyFont="1" applyFill="1" applyBorder="1" applyAlignment="1">
      <alignment horizontal="right" vertical="top"/>
    </xf>
    <xf numFmtId="3" fontId="36" fillId="0" borderId="0" xfId="40" applyNumberFormat="1" applyFont="1" applyFill="1" applyBorder="1" applyAlignment="1" applyProtection="1">
      <alignment horizontal="right" vertical="top"/>
    </xf>
    <xf numFmtId="3" fontId="24" fillId="0" borderId="0" xfId="40" applyNumberFormat="1" applyFont="1" applyFill="1" applyAlignment="1">
      <alignment horizontal="right" vertical="top"/>
    </xf>
    <xf numFmtId="0" fontId="33" fillId="0" borderId="0" xfId="42" applyNumberFormat="1" applyFont="1" applyFill="1" applyBorder="1" applyAlignment="1">
      <alignment horizontal="left" vertical="top"/>
    </xf>
    <xf numFmtId="3" fontId="24" fillId="0" borderId="0" xfId="40" applyNumberFormat="1" applyFont="1" applyFill="1" applyBorder="1" applyAlignment="1">
      <alignment horizontal="right" vertical="top"/>
    </xf>
    <xf numFmtId="3" fontId="26" fillId="0" borderId="0" xfId="40" applyNumberFormat="1" applyFont="1" applyFill="1" applyAlignment="1">
      <alignment horizontal="right" vertical="top"/>
    </xf>
    <xf numFmtId="0" fontId="34" fillId="0" borderId="0" xfId="40" applyNumberFormat="1" applyFont="1" applyFill="1" applyBorder="1" applyAlignment="1" applyProtection="1">
      <alignment horizontal="left" vertical="top" wrapText="1"/>
    </xf>
    <xf numFmtId="0" fontId="26" fillId="0" borderId="0" xfId="40" applyNumberFormat="1" applyFont="1" applyFill="1" applyBorder="1" applyAlignment="1" applyProtection="1">
      <alignment horizontal="left" vertical="top" wrapText="1"/>
    </xf>
    <xf numFmtId="3" fontId="26" fillId="0" borderId="0" xfId="40" applyNumberFormat="1" applyFont="1" applyFill="1" applyBorder="1" applyAlignment="1"/>
    <xf numFmtId="0" fontId="27" fillId="0" borderId="0" xfId="40" applyFont="1" applyFill="1" applyBorder="1" applyAlignment="1" applyProtection="1">
      <alignment horizontal="left" vertical="top" wrapText="1" indent="1"/>
    </xf>
    <xf numFmtId="3" fontId="27" fillId="0" borderId="0" xfId="40" applyNumberFormat="1" applyFont="1" applyFill="1" applyBorder="1" applyAlignment="1">
      <alignment vertical="top"/>
    </xf>
    <xf numFmtId="0" fontId="26" fillId="0" borderId="0" xfId="40" applyNumberFormat="1" applyFont="1" applyFill="1" applyBorder="1" applyAlignment="1">
      <alignment horizontal="left" vertical="top" wrapText="1"/>
    </xf>
    <xf numFmtId="0" fontId="27" fillId="0" borderId="0" xfId="40" applyNumberFormat="1" applyFont="1" applyFill="1" applyBorder="1" applyAlignment="1" applyProtection="1">
      <alignment horizontal="left" vertical="top" wrapText="1" indent="1"/>
    </xf>
    <xf numFmtId="3" fontId="27" fillId="0" borderId="0" xfId="40" applyNumberFormat="1" applyFont="1" applyFill="1" applyBorder="1" applyAlignment="1"/>
    <xf numFmtId="0" fontId="27" fillId="0" borderId="0" xfId="40" applyNumberFormat="1" applyFont="1" applyFill="1" applyBorder="1" applyAlignment="1" applyProtection="1">
      <alignment horizontal="left" vertical="top" wrapText="1" indent="3"/>
    </xf>
    <xf numFmtId="3" fontId="49" fillId="0" borderId="0" xfId="40" applyNumberFormat="1" applyFont="1" applyFill="1" applyBorder="1" applyAlignment="1"/>
    <xf numFmtId="3" fontId="31" fillId="0" borderId="0" xfId="40" applyNumberFormat="1" applyFont="1" applyFill="1" applyBorder="1" applyAlignment="1"/>
    <xf numFmtId="3" fontId="4" fillId="0" borderId="0" xfId="42" applyNumberFormat="1" applyFont="1" applyFill="1" applyBorder="1" applyAlignment="1"/>
    <xf numFmtId="3" fontId="36" fillId="0" borderId="0" xfId="42" applyNumberFormat="1" applyFont="1" applyFill="1" applyBorder="1" applyAlignment="1">
      <alignment horizontal="left" wrapText="1"/>
    </xf>
    <xf numFmtId="0" fontId="36" fillId="0" borderId="0" xfId="42" applyNumberFormat="1" applyFont="1" applyFill="1" applyBorder="1" applyAlignment="1">
      <alignment horizontal="left" wrapText="1"/>
    </xf>
    <xf numFmtId="3" fontId="4" fillId="0" borderId="0" xfId="40" applyNumberFormat="1" applyFont="1" applyFill="1" applyBorder="1" applyAlignment="1">
      <alignment vertical="top"/>
    </xf>
    <xf numFmtId="3" fontId="24" fillId="0" borderId="0" xfId="40" applyNumberFormat="1" applyFont="1" applyFill="1" applyBorder="1" applyAlignment="1">
      <alignment vertical="top"/>
    </xf>
    <xf numFmtId="0" fontId="24" fillId="0" borderId="0" xfId="40" applyNumberFormat="1" applyFont="1" applyFill="1" applyBorder="1" applyAlignment="1">
      <alignment horizontal="left" vertical="top" wrapText="1" indent="2"/>
    </xf>
    <xf numFmtId="3" fontId="26" fillId="0" borderId="0" xfId="40" applyNumberFormat="1" applyFont="1" applyFill="1" applyBorder="1" applyAlignment="1">
      <alignment horizontal="right"/>
    </xf>
    <xf numFmtId="0" fontId="27" fillId="0" borderId="0" xfId="40" applyNumberFormat="1" applyFont="1" applyFill="1" applyBorder="1" applyAlignment="1" applyProtection="1">
      <alignment horizontal="left" vertical="top" indent="3"/>
    </xf>
    <xf numFmtId="3" fontId="31" fillId="0" borderId="0" xfId="40" applyNumberFormat="1" applyFont="1" applyFill="1" applyBorder="1" applyAlignment="1">
      <alignment horizontal="right"/>
    </xf>
    <xf numFmtId="3" fontId="4" fillId="0" borderId="0" xfId="40" applyNumberFormat="1" applyFont="1" applyFill="1" applyBorder="1" applyAlignment="1">
      <alignment horizontal="right"/>
    </xf>
    <xf numFmtId="0" fontId="24" fillId="0" borderId="0" xfId="40" applyNumberFormat="1" applyFont="1" applyFill="1" applyAlignment="1">
      <alignment horizontal="left" vertical="top" wrapText="1" indent="2"/>
    </xf>
    <xf numFmtId="0" fontId="24" fillId="0" borderId="0" xfId="40" applyNumberFormat="1" applyFont="1" applyFill="1" applyAlignment="1">
      <alignment horizontal="left" vertical="top" indent="2"/>
    </xf>
    <xf numFmtId="3" fontId="4" fillId="0" borderId="0" xfId="40" applyNumberFormat="1" applyFont="1" applyFill="1" applyAlignment="1">
      <alignment horizontal="right"/>
    </xf>
    <xf numFmtId="0" fontId="24" fillId="0" borderId="0" xfId="40" applyNumberFormat="1" applyFont="1" applyFill="1" applyAlignment="1">
      <alignment horizontal="left" vertical="top" wrapText="1" indent="4"/>
    </xf>
    <xf numFmtId="3" fontId="27" fillId="0" borderId="0" xfId="40" applyNumberFormat="1" applyFont="1" applyFill="1" applyAlignment="1">
      <alignment horizontal="right"/>
    </xf>
    <xf numFmtId="3" fontId="24" fillId="0" borderId="0" xfId="40" applyNumberFormat="1" applyFont="1" applyFill="1" applyAlignment="1">
      <alignment horizontal="right"/>
    </xf>
    <xf numFmtId="0" fontId="31" fillId="0" borderId="0" xfId="40" applyNumberFormat="1" applyFont="1" applyFill="1" applyBorder="1" applyAlignment="1">
      <alignment horizontal="left" vertical="top"/>
    </xf>
    <xf numFmtId="3" fontId="42" fillId="0" borderId="0" xfId="40" applyNumberFormat="1" applyFont="1" applyFill="1" applyBorder="1" applyAlignment="1">
      <alignment horizontal="right"/>
    </xf>
    <xf numFmtId="0" fontId="36" fillId="0" borderId="0" xfId="40" applyNumberFormat="1" applyFont="1" applyFill="1" applyBorder="1" applyAlignment="1" applyProtection="1">
      <alignment horizontal="left" vertical="top" indent="5"/>
    </xf>
    <xf numFmtId="3" fontId="36" fillId="0" borderId="0" xfId="40" applyNumberFormat="1" applyFont="1" applyFill="1" applyBorder="1" applyAlignment="1">
      <alignment horizontal="right"/>
    </xf>
    <xf numFmtId="0" fontId="26" fillId="0" borderId="0" xfId="42" applyNumberFormat="1" applyFont="1" applyFill="1" applyBorder="1" applyAlignment="1">
      <alignment horizontal="left" vertical="top" indent="2"/>
    </xf>
    <xf numFmtId="0" fontId="4" fillId="0" borderId="0" xfId="42" applyNumberFormat="1" applyFont="1" applyFill="1" applyBorder="1" applyAlignment="1">
      <alignment horizontal="left" vertical="top" wrapText="1" indent="4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>
      <alignment horizontal="left"/>
    </xf>
    <xf numFmtId="0" fontId="4" fillId="0" borderId="0" xfId="42" applyNumberFormat="1" applyFont="1" applyFill="1" applyBorder="1" applyAlignment="1">
      <alignment horizontal="left" vertical="top" indent="4"/>
    </xf>
    <xf numFmtId="0" fontId="39" fillId="0" borderId="0" xfId="0" applyFont="1" applyFill="1" applyBorder="1" applyAlignment="1">
      <alignment horizontal="left" vertical="top" indent="3"/>
    </xf>
    <xf numFmtId="0" fontId="39" fillId="0" borderId="0" xfId="0" applyFont="1" applyFill="1" applyBorder="1" applyAlignment="1">
      <alignment horizontal="left" vertical="top" wrapText="1" indent="3"/>
    </xf>
    <xf numFmtId="0" fontId="38" fillId="0" borderId="0" xfId="0" applyFont="1" applyFill="1" applyBorder="1" applyAlignment="1">
      <alignment horizontal="left" vertical="top"/>
    </xf>
    <xf numFmtId="0" fontId="37" fillId="0" borderId="0" xfId="0" applyFont="1" applyFill="1"/>
    <xf numFmtId="3" fontId="38" fillId="0" borderId="0" xfId="0" applyNumberFormat="1" applyFont="1" applyFill="1" applyBorder="1" applyAlignment="1">
      <alignment vertical="top"/>
    </xf>
    <xf numFmtId="0" fontId="39" fillId="0" borderId="0" xfId="0" applyFont="1" applyFill="1"/>
    <xf numFmtId="3" fontId="39" fillId="0" borderId="0" xfId="0" applyNumberFormat="1" applyFont="1" applyFill="1" applyBorder="1" applyAlignment="1">
      <alignment vertical="top"/>
    </xf>
    <xf numFmtId="3" fontId="39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left" vertical="top" wrapText="1"/>
    </xf>
    <xf numFmtId="3" fontId="38" fillId="0" borderId="0" xfId="0" applyNumberFormat="1" applyFont="1" applyFill="1" applyBorder="1" applyAlignment="1">
      <alignment vertical="top" wrapText="1"/>
    </xf>
    <xf numFmtId="3" fontId="38" fillId="0" borderId="0" xfId="0" applyNumberFormat="1" applyFont="1" applyFill="1" applyAlignment="1">
      <alignment vertical="top"/>
    </xf>
    <xf numFmtId="3" fontId="38" fillId="0" borderId="0" xfId="0" applyNumberFormat="1" applyFont="1" applyFill="1" applyBorder="1" applyAlignment="1"/>
    <xf numFmtId="0" fontId="35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 indent="3"/>
    </xf>
    <xf numFmtId="3" fontId="26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3" fontId="4" fillId="0" borderId="0" xfId="55" applyNumberFormat="1" applyFont="1" applyFill="1" applyBorder="1" applyAlignment="1"/>
    <xf numFmtId="0" fontId="4" fillId="0" borderId="0" xfId="55" applyFont="1" applyFill="1" applyBorder="1" applyAlignment="1" applyProtection="1">
      <alignment horizontal="left" vertical="top" wrapText="1" indent="4"/>
      <protection locked="0"/>
    </xf>
    <xf numFmtId="0" fontId="52" fillId="0" borderId="0" xfId="0" applyFont="1" applyBorder="1" applyAlignment="1">
      <alignment horizontal="left" wrapText="1"/>
    </xf>
    <xf numFmtId="3" fontId="4" fillId="0" borderId="0" xfId="55" applyNumberFormat="1" applyFont="1" applyBorder="1" applyAlignment="1"/>
    <xf numFmtId="3" fontId="26" fillId="0" borderId="0" xfId="55" applyNumberFormat="1" applyFont="1" applyFill="1" applyBorder="1"/>
    <xf numFmtId="3" fontId="52" fillId="0" borderId="0" xfId="0" applyNumberFormat="1" applyFont="1" applyBorder="1" applyAlignment="1"/>
    <xf numFmtId="3" fontId="4" fillId="0" borderId="0" xfId="0" applyNumberFormat="1" applyFont="1" applyFill="1" applyBorder="1" applyAlignment="1"/>
    <xf numFmtId="0" fontId="24" fillId="0" borderId="0" xfId="39" applyNumberFormat="1" applyFont="1" applyFill="1" applyBorder="1" applyAlignment="1" applyProtection="1">
      <alignment horizontal="left" vertical="top"/>
    </xf>
    <xf numFmtId="0" fontId="4" fillId="0" borderId="0" xfId="34" applyNumberFormat="1" applyFont="1" applyFill="1" applyBorder="1" applyAlignment="1" applyProtection="1">
      <alignment horizontal="left" vertical="top" indent="2"/>
    </xf>
    <xf numFmtId="0" fontId="4" fillId="0" borderId="0" xfId="40" applyNumberFormat="1" applyFont="1" applyFill="1" applyBorder="1" applyAlignment="1" applyProtection="1">
      <alignment horizontal="left" vertical="top" wrapText="1" indent="2"/>
    </xf>
    <xf numFmtId="0" fontId="36" fillId="0" borderId="0" xfId="34" applyNumberFormat="1" applyFont="1" applyFill="1" applyBorder="1" applyAlignment="1" applyProtection="1">
      <alignment horizontal="left" vertical="top" wrapText="1" inden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0" fontId="4" fillId="0" borderId="0" xfId="0" applyFont="1" applyAlignment="1">
      <alignment horizontal="left" wrapText="1"/>
    </xf>
    <xf numFmtId="3" fontId="70" fillId="0" borderId="0" xfId="0" applyNumberFormat="1" applyFont="1"/>
    <xf numFmtId="0" fontId="36" fillId="0" borderId="0" xfId="42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indent="3"/>
    </xf>
    <xf numFmtId="3" fontId="27" fillId="0" borderId="0" xfId="40" applyNumberFormat="1" applyFont="1" applyFill="1" applyAlignment="1">
      <alignment horizontal="right" vertical="top"/>
    </xf>
    <xf numFmtId="49" fontId="36" fillId="0" borderId="0" xfId="34" quotePrefix="1" applyNumberFormat="1" applyFont="1" applyFill="1" applyBorder="1" applyAlignment="1" applyProtection="1">
      <alignment horizontal="left" vertical="top" wrapText="1" indent="1"/>
    </xf>
    <xf numFmtId="0" fontId="36" fillId="0" borderId="0" xfId="34" applyNumberFormat="1" applyFont="1" applyFill="1" applyBorder="1" applyAlignment="1" applyProtection="1">
      <alignment horizontal="left" vertical="top" wrapText="1"/>
    </xf>
    <xf numFmtId="0" fontId="24" fillId="0" borderId="0" xfId="40" applyNumberFormat="1" applyFont="1" applyFill="1" applyBorder="1" applyAlignment="1" applyProtection="1">
      <alignment horizontal="left" vertical="top"/>
    </xf>
    <xf numFmtId="3" fontId="44" fillId="0" borderId="0" xfId="55" applyNumberFormat="1" applyFont="1" applyFill="1" applyBorder="1" applyAlignment="1"/>
    <xf numFmtId="0" fontId="71" fillId="0" borderId="0" xfId="34" quotePrefix="1" applyNumberFormat="1" applyFont="1" applyFill="1" applyBorder="1" applyAlignment="1" applyProtection="1">
      <alignment horizontal="left" vertical="top" wrapText="1" indent="1"/>
    </xf>
    <xf numFmtId="0" fontId="72" fillId="0" borderId="0" xfId="48" applyFont="1" applyFill="1" applyAlignment="1">
      <alignment vertical="top" wrapText="1"/>
    </xf>
    <xf numFmtId="0" fontId="26" fillId="0" borderId="0" xfId="48" applyFont="1" applyFill="1" applyAlignment="1">
      <alignment wrapText="1"/>
    </xf>
    <xf numFmtId="3" fontId="39" fillId="0" borderId="0" xfId="54" applyNumberFormat="1" applyFont="1" applyFill="1" applyBorder="1" applyAlignment="1">
      <alignment vertical="top"/>
    </xf>
    <xf numFmtId="3" fontId="42" fillId="0" borderId="0" xfId="40" applyNumberFormat="1" applyFont="1" applyFill="1" applyAlignment="1">
      <alignment horizontal="right" vertical="top"/>
    </xf>
    <xf numFmtId="0" fontId="39" fillId="0" borderId="0" xfId="54" applyFont="1" applyFill="1" applyBorder="1" applyAlignment="1">
      <alignment horizontal="left" vertical="top" indent="3"/>
    </xf>
    <xf numFmtId="0" fontId="44" fillId="0" borderId="0" xfId="0" applyFont="1" applyBorder="1" applyAlignment="1">
      <alignment horizontal="left" wrapText="1" indent="4"/>
    </xf>
    <xf numFmtId="0" fontId="44" fillId="0" borderId="0" xfId="55" applyFont="1" applyBorder="1" applyAlignment="1">
      <alignment wrapText="1"/>
    </xf>
    <xf numFmtId="0" fontId="4" fillId="0" borderId="0" xfId="55" applyFont="1" applyBorder="1" applyAlignment="1">
      <alignment wrapText="1"/>
    </xf>
    <xf numFmtId="0" fontId="24" fillId="0" borderId="0" xfId="0" applyFont="1" applyBorder="1" applyAlignment="1">
      <alignment horizontal="left" wrapText="1" indent="1"/>
    </xf>
    <xf numFmtId="3" fontId="24" fillId="0" borderId="0" xfId="0" applyNumberFormat="1" applyFont="1" applyBorder="1"/>
    <xf numFmtId="0" fontId="24" fillId="0" borderId="0" xfId="0" applyFont="1" applyBorder="1" applyAlignment="1">
      <alignment horizontal="left" wrapText="1" indent="2"/>
    </xf>
    <xf numFmtId="3" fontId="44" fillId="0" borderId="0" xfId="0" applyNumberFormat="1" applyFont="1" applyBorder="1"/>
    <xf numFmtId="0" fontId="26" fillId="0" borderId="0" xfId="0" applyFont="1" applyBorder="1"/>
    <xf numFmtId="0" fontId="24" fillId="0" borderId="0" xfId="40" applyNumberFormat="1" applyFont="1" applyFill="1" applyBorder="1" applyAlignment="1" applyProtection="1">
      <alignment horizontal="left" vertical="top" wrapText="1" indent="3"/>
    </xf>
    <xf numFmtId="9" fontId="36" fillId="0" borderId="0" xfId="51" applyFont="1" applyFill="1" applyAlignment="1">
      <alignment horizontal="right" vertical="top"/>
    </xf>
    <xf numFmtId="3" fontId="4" fillId="0" borderId="0" xfId="55" applyNumberFormat="1" applyFont="1" applyFill="1" applyBorder="1" applyAlignment="1" applyProtection="1">
      <alignment vertical="top" wrapText="1"/>
      <protection locked="0"/>
    </xf>
    <xf numFmtId="0" fontId="44" fillId="0" borderId="0" xfId="55" applyFont="1" applyBorder="1" applyAlignment="1"/>
    <xf numFmtId="3" fontId="44" fillId="0" borderId="0" xfId="55" applyNumberFormat="1" applyFont="1" applyBorder="1" applyAlignment="1"/>
    <xf numFmtId="3" fontId="52" fillId="0" borderId="0" xfId="0" applyNumberFormat="1" applyFont="1" applyBorder="1" applyAlignment="1">
      <alignment wrapText="1"/>
    </xf>
    <xf numFmtId="0" fontId="42" fillId="0" borderId="0" xfId="39" applyFont="1" applyFill="1" applyBorder="1" applyAlignment="1" applyProtection="1">
      <alignment horizontal="left" indent="4"/>
    </xf>
    <xf numFmtId="0" fontId="42" fillId="0" borderId="0" xfId="154" applyFont="1" applyFill="1" applyBorder="1" applyAlignment="1" applyProtection="1">
      <alignment horizontal="left" indent="1"/>
    </xf>
    <xf numFmtId="0" fontId="35" fillId="0" borderId="0" xfId="40" applyNumberFormat="1" applyFont="1" applyFill="1" applyBorder="1" applyAlignment="1" applyProtection="1">
      <alignment vertical="top" wrapText="1"/>
    </xf>
    <xf numFmtId="0" fontId="44" fillId="0" borderId="0" xfId="0" applyFont="1" applyFill="1" applyBorder="1" applyAlignment="1">
      <alignment horizontal="left" vertical="top" wrapText="1" indent="4"/>
    </xf>
    <xf numFmtId="0" fontId="4" fillId="0" borderId="0" xfId="42" applyNumberFormat="1" applyFont="1" applyFill="1" applyBorder="1" applyAlignment="1">
      <alignment horizontal="left" vertical="top" wrapText="1"/>
    </xf>
    <xf numFmtId="3" fontId="44" fillId="0" borderId="0" xfId="0" applyNumberFormat="1" applyFont="1" applyFill="1" applyBorder="1" applyAlignment="1">
      <alignment vertical="top" wrapText="1"/>
    </xf>
    <xf numFmtId="3" fontId="44" fillId="0" borderId="0" xfId="55" applyNumberFormat="1" applyFont="1" applyBorder="1" applyAlignment="1">
      <alignment wrapText="1"/>
    </xf>
    <xf numFmtId="3" fontId="4" fillId="0" borderId="0" xfId="55" applyNumberFormat="1" applyFont="1" applyBorder="1" applyAlignment="1">
      <alignment wrapText="1"/>
    </xf>
    <xf numFmtId="3" fontId="4" fillId="0" borderId="0" xfId="0" applyNumberFormat="1" applyFont="1" applyFill="1" applyBorder="1" applyAlignment="1" applyProtection="1">
      <alignment vertical="top" wrapText="1"/>
      <protection locked="0"/>
    </xf>
    <xf numFmtId="3" fontId="44" fillId="0" borderId="0" xfId="0" applyNumberFormat="1" applyFont="1" applyBorder="1" applyAlignment="1">
      <alignment wrapText="1"/>
    </xf>
    <xf numFmtId="3" fontId="24" fillId="0" borderId="0" xfId="0" applyNumberFormat="1" applyFont="1" applyFill="1" applyBorder="1" applyAlignment="1" applyProtection="1">
      <alignment vertical="top" wrapText="1"/>
      <protection locked="0"/>
    </xf>
    <xf numFmtId="3" fontId="44" fillId="0" borderId="0" xfId="0" applyNumberFormat="1" applyFont="1" applyFill="1" applyBorder="1" applyAlignment="1">
      <alignment wrapText="1"/>
    </xf>
    <xf numFmtId="0" fontId="44" fillId="0" borderId="0" xfId="0" applyFont="1" applyAlignment="1">
      <alignment horizontal="justify" vertical="center"/>
    </xf>
    <xf numFmtId="3" fontId="24" fillId="0" borderId="0" xfId="0" applyNumberFormat="1" applyFont="1" applyBorder="1" applyAlignment="1">
      <alignment wrapText="1"/>
    </xf>
    <xf numFmtId="3" fontId="19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wrapText="1"/>
    </xf>
    <xf numFmtId="3" fontId="4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0" xfId="42" applyNumberFormat="1" applyFont="1" applyFill="1" applyBorder="1" applyAlignment="1">
      <alignment vertical="top" wrapText="1"/>
    </xf>
    <xf numFmtId="3" fontId="44" fillId="0" borderId="0" xfId="0" applyNumberFormat="1" applyFont="1" applyAlignment="1">
      <alignment vertical="center"/>
    </xf>
    <xf numFmtId="3" fontId="0" fillId="0" borderId="0" xfId="0" applyNumberFormat="1" applyBorder="1" applyAlignment="1"/>
    <xf numFmtId="3" fontId="24" fillId="0" borderId="0" xfId="0" applyNumberFormat="1" applyFont="1" applyBorder="1" applyAlignment="1"/>
    <xf numFmtId="3" fontId="4" fillId="0" borderId="0" xfId="40" applyNumberFormat="1" applyFont="1" applyFill="1" applyBorder="1" applyAlignment="1" applyProtection="1">
      <alignment horizontal="right" vertical="top" wrapText="1"/>
    </xf>
    <xf numFmtId="0" fontId="35" fillId="0" borderId="0" xfId="48" applyFont="1" applyFill="1" applyAlignment="1">
      <alignment vertical="top" wrapText="1"/>
    </xf>
    <xf numFmtId="0" fontId="4" fillId="0" borderId="0" xfId="48" applyFont="1" applyFill="1"/>
    <xf numFmtId="0" fontId="42" fillId="0" borderId="0" xfId="48" applyFont="1" applyFill="1" applyBorder="1"/>
    <xf numFmtId="3" fontId="4" fillId="0" borderId="0" xfId="48" applyNumberFormat="1" applyFont="1" applyFill="1"/>
    <xf numFmtId="0" fontId="4" fillId="0" borderId="0" xfId="48" applyFont="1" applyFill="1" applyBorder="1"/>
    <xf numFmtId="0" fontId="4" fillId="0" borderId="0" xfId="48" applyFont="1" applyFill="1" applyBorder="1" applyAlignment="1">
      <alignment horizontal="left" vertical="top"/>
    </xf>
    <xf numFmtId="164" fontId="4" fillId="0" borderId="0" xfId="48" applyNumberFormat="1" applyFont="1" applyFill="1"/>
    <xf numFmtId="3" fontId="26" fillId="0" borderId="0" xfId="48" applyNumberFormat="1" applyFont="1" applyFill="1" applyAlignment="1">
      <alignment horizontal="right" vertical="top"/>
    </xf>
    <xf numFmtId="3" fontId="27" fillId="0" borderId="0" xfId="48" applyNumberFormat="1" applyFont="1" applyFill="1" applyAlignment="1">
      <alignment horizontal="right" vertical="top"/>
    </xf>
    <xf numFmtId="0" fontId="36" fillId="0" borderId="0" xfId="48" applyFont="1" applyFill="1"/>
    <xf numFmtId="3" fontId="36" fillId="0" borderId="0" xfId="48" applyNumberFormat="1" applyFont="1" applyFill="1" applyAlignment="1">
      <alignment horizontal="right" vertical="top"/>
    </xf>
    <xf numFmtId="3" fontId="4" fillId="0" borderId="0" xfId="48" applyNumberFormat="1" applyFont="1" applyFill="1" applyAlignment="1">
      <alignment horizontal="right" vertical="top"/>
    </xf>
    <xf numFmtId="3" fontId="42" fillId="0" borderId="0" xfId="48" applyNumberFormat="1" applyFont="1" applyFill="1" applyAlignment="1">
      <alignment horizontal="right" vertical="top"/>
    </xf>
    <xf numFmtId="0" fontId="4" fillId="0" borderId="0" xfId="48" applyFont="1" applyFill="1" applyAlignment="1">
      <alignment horizontal="left" vertical="top"/>
    </xf>
    <xf numFmtId="0" fontId="35" fillId="0" borderId="0" xfId="48" applyNumberFormat="1" applyFont="1" applyFill="1" applyAlignment="1">
      <alignment horizontal="left" vertical="top"/>
    </xf>
    <xf numFmtId="0" fontId="4" fillId="0" borderId="0" xfId="48" applyNumberFormat="1" applyFont="1" applyFill="1" applyBorder="1" applyAlignment="1">
      <alignment horizontal="left" vertical="top" indent="1"/>
    </xf>
    <xf numFmtId="0" fontId="4" fillId="0" borderId="0" xfId="48" applyNumberFormat="1" applyFont="1" applyFill="1" applyAlignment="1">
      <alignment horizontal="left" vertical="top"/>
    </xf>
    <xf numFmtId="0" fontId="4" fillId="0" borderId="0" xfId="48" applyNumberFormat="1" applyFont="1" applyFill="1" applyBorder="1" applyAlignment="1">
      <alignment horizontal="left" vertical="top"/>
    </xf>
    <xf numFmtId="49" fontId="4" fillId="0" borderId="0" xfId="48" applyNumberFormat="1" applyFont="1" applyFill="1" applyAlignment="1">
      <alignment horizontal="left" vertical="top"/>
    </xf>
    <xf numFmtId="3" fontId="42" fillId="0" borderId="0" xfId="48" applyNumberFormat="1" applyFont="1" applyFill="1" applyBorder="1" applyAlignment="1">
      <alignment vertical="top"/>
    </xf>
    <xf numFmtId="0" fontId="4" fillId="0" borderId="0" xfId="48" applyFont="1" applyFill="1" applyBorder="1" applyAlignment="1"/>
    <xf numFmtId="0" fontId="33" fillId="0" borderId="0" xfId="48" applyNumberFormat="1" applyFont="1" applyFill="1" applyAlignment="1">
      <alignment horizontal="left" vertical="top" indent="1"/>
    </xf>
    <xf numFmtId="0" fontId="36" fillId="0" borderId="0" xfId="48" applyFont="1" applyFill="1" applyAlignment="1">
      <alignment horizontal="left" indent="1"/>
    </xf>
    <xf numFmtId="0" fontId="31" fillId="0" borderId="0" xfId="48" applyNumberFormat="1" applyFont="1" applyFill="1" applyAlignment="1">
      <alignment horizontal="left" vertical="top"/>
    </xf>
    <xf numFmtId="3" fontId="42" fillId="0" borderId="0" xfId="48" applyNumberFormat="1" applyFont="1" applyFill="1"/>
    <xf numFmtId="3" fontId="26" fillId="0" borderId="0" xfId="48" applyNumberFormat="1" applyFont="1" applyFill="1"/>
    <xf numFmtId="3" fontId="42" fillId="0" borderId="0" xfId="48" applyNumberFormat="1" applyFont="1" applyFill="1" applyAlignment="1">
      <alignment vertical="top"/>
    </xf>
    <xf numFmtId="3" fontId="36" fillId="0" borderId="0" xfId="48" applyNumberFormat="1" applyFont="1" applyFill="1" applyAlignment="1">
      <alignment horizontal="right" vertical="top" wrapText="1"/>
    </xf>
    <xf numFmtId="0" fontId="26" fillId="0" borderId="0" xfId="48" applyNumberFormat="1" applyFont="1" applyFill="1" applyAlignment="1">
      <alignment horizontal="left" vertical="top" indent="2"/>
    </xf>
    <xf numFmtId="3" fontId="4" fillId="0" borderId="0" xfId="48" applyNumberFormat="1" applyFont="1" applyFill="1" applyAlignment="1">
      <alignment vertical="top"/>
    </xf>
    <xf numFmtId="3" fontId="27" fillId="0" borderId="0" xfId="48" applyNumberFormat="1" applyFont="1" applyFill="1" applyAlignment="1">
      <alignment vertical="top"/>
    </xf>
    <xf numFmtId="3" fontId="4" fillId="0" borderId="0" xfId="48" applyNumberFormat="1" applyFont="1" applyFill="1" applyBorder="1" applyAlignment="1">
      <alignment horizontal="right" vertical="top"/>
    </xf>
    <xf numFmtId="0" fontId="26" fillId="0" borderId="0" xfId="48" applyFont="1" applyFill="1"/>
    <xf numFmtId="0" fontId="33" fillId="0" borderId="0" xfId="48" applyNumberFormat="1" applyFont="1" applyFill="1" applyAlignment="1">
      <alignment horizontal="left" vertical="top" wrapText="1" indent="1"/>
    </xf>
    <xf numFmtId="0" fontId="36" fillId="0" borderId="0" xfId="48" quotePrefix="1" applyNumberFormat="1" applyFont="1" applyFill="1" applyAlignment="1">
      <alignment horizontal="left" wrapText="1" indent="1"/>
    </xf>
    <xf numFmtId="0" fontId="4" fillId="0" borderId="0" xfId="48" applyFont="1" applyFill="1" applyAlignment="1"/>
    <xf numFmtId="0" fontId="26" fillId="0" borderId="0" xfId="48" applyNumberFormat="1" applyFont="1" applyFill="1" applyAlignment="1">
      <alignment horizontal="left" vertical="top"/>
    </xf>
    <xf numFmtId="0" fontId="36" fillId="0" borderId="0" xfId="48" applyNumberFormat="1" applyFont="1" applyFill="1" applyAlignment="1">
      <alignment horizontal="left" vertical="top" indent="1"/>
    </xf>
    <xf numFmtId="3" fontId="24" fillId="0" borderId="0" xfId="48" applyNumberFormat="1" applyFont="1" applyFill="1" applyAlignment="1">
      <alignment horizontal="right" vertical="top"/>
    </xf>
    <xf numFmtId="0" fontId="24" fillId="0" borderId="0" xfId="48" applyNumberFormat="1" applyFont="1" applyFill="1" applyAlignment="1">
      <alignment horizontal="left" vertical="top" wrapText="1" indent="2"/>
    </xf>
    <xf numFmtId="0" fontId="24" fillId="0" borderId="0" xfId="48" applyNumberFormat="1" applyFont="1" applyFill="1" applyAlignment="1">
      <alignment horizontal="left" vertical="top" indent="2"/>
    </xf>
    <xf numFmtId="3" fontId="27" fillId="0" borderId="0" xfId="48" applyNumberFormat="1" applyFont="1" applyFill="1"/>
    <xf numFmtId="3" fontId="31" fillId="0" borderId="0" xfId="48" applyNumberFormat="1" applyFont="1" applyFill="1" applyAlignment="1">
      <alignment horizontal="right" vertical="top"/>
    </xf>
    <xf numFmtId="0" fontId="36" fillId="0" borderId="0" xfId="48" applyNumberFormat="1" applyFont="1" applyFill="1" applyAlignment="1">
      <alignment horizontal="left" wrapText="1" indent="3"/>
    </xf>
    <xf numFmtId="3" fontId="24" fillId="0" borderId="0" xfId="48" applyNumberFormat="1" applyFont="1" applyFill="1" applyAlignment="1">
      <alignment vertical="top"/>
    </xf>
    <xf numFmtId="0" fontId="4" fillId="0" borderId="0" xfId="48" applyNumberFormat="1" applyFont="1" applyFill="1" applyAlignment="1">
      <alignment horizontal="left" vertical="top" wrapText="1"/>
    </xf>
    <xf numFmtId="49" fontId="24" fillId="0" borderId="0" xfId="48" applyNumberFormat="1" applyFont="1" applyFill="1" applyAlignment="1">
      <alignment horizontal="left" vertical="top" indent="3"/>
    </xf>
    <xf numFmtId="3" fontId="24" fillId="0" borderId="0" xfId="48" applyNumberFormat="1" applyFont="1" applyFill="1"/>
    <xf numFmtId="49" fontId="24" fillId="0" borderId="0" xfId="48" applyNumberFormat="1" applyFont="1" applyFill="1" applyAlignment="1">
      <alignment horizontal="left" vertical="top" indent="4"/>
    </xf>
    <xf numFmtId="0" fontId="32" fillId="0" borderId="0" xfId="48" applyNumberFormat="1" applyFont="1" applyFill="1" applyAlignment="1">
      <alignment horizontal="left" vertical="top"/>
    </xf>
    <xf numFmtId="3" fontId="32" fillId="0" borderId="0" xfId="48" applyNumberFormat="1" applyFont="1" applyFill="1" applyAlignment="1">
      <alignment horizontal="right" vertical="top"/>
    </xf>
    <xf numFmtId="0" fontId="27" fillId="0" borderId="0" xfId="48" applyNumberFormat="1" applyFont="1" applyFill="1" applyAlignment="1">
      <alignment horizontal="left" vertical="top"/>
    </xf>
    <xf numFmtId="3" fontId="26" fillId="0" borderId="0" xfId="48" applyNumberFormat="1" applyFont="1" applyFill="1" applyBorder="1" applyAlignment="1">
      <alignment vertical="top"/>
    </xf>
    <xf numFmtId="0" fontId="31" fillId="0" borderId="0" xfId="48" applyNumberFormat="1" applyFont="1" applyFill="1" applyBorder="1" applyAlignment="1">
      <alignment horizontal="left" vertical="top" wrapText="1"/>
    </xf>
    <xf numFmtId="0" fontId="33" fillId="0" borderId="0" xfId="48" applyNumberFormat="1" applyFont="1" applyFill="1" applyBorder="1" applyAlignment="1">
      <alignment horizontal="left" vertical="top" wrapText="1" indent="1"/>
    </xf>
    <xf numFmtId="0" fontId="26" fillId="0" borderId="0" xfId="48" applyNumberFormat="1" applyFont="1" applyFill="1" applyBorder="1" applyAlignment="1">
      <alignment horizontal="left" vertical="top" wrapText="1" indent="2"/>
    </xf>
    <xf numFmtId="0" fontId="24" fillId="0" borderId="0" xfId="48" applyFont="1" applyFill="1"/>
    <xf numFmtId="3" fontId="4" fillId="0" borderId="0" xfId="48" applyNumberFormat="1" applyFont="1" applyFill="1" applyAlignment="1"/>
    <xf numFmtId="3" fontId="36" fillId="0" borderId="0" xfId="48" applyNumberFormat="1" applyFont="1" applyFill="1" applyBorder="1" applyAlignment="1">
      <alignment wrapText="1"/>
    </xf>
    <xf numFmtId="3" fontId="4" fillId="0" borderId="0" xfId="48" applyNumberFormat="1" applyFont="1" applyFill="1" applyBorder="1" applyAlignment="1">
      <alignment vertical="top"/>
    </xf>
    <xf numFmtId="49" fontId="36" fillId="0" borderId="0" xfId="48" quotePrefix="1" applyNumberFormat="1" applyFont="1" applyFill="1" applyAlignment="1">
      <alignment horizontal="left" indent="1"/>
    </xf>
    <xf numFmtId="3" fontId="36" fillId="0" borderId="0" xfId="48" applyNumberFormat="1" applyFont="1" applyFill="1" applyAlignment="1">
      <alignment horizontal="left" wrapText="1"/>
    </xf>
    <xf numFmtId="0" fontId="44" fillId="0" borderId="0" xfId="48" applyFont="1" applyFill="1" applyBorder="1" applyAlignment="1">
      <alignment wrapText="1"/>
    </xf>
    <xf numFmtId="0" fontId="4" fillId="0" borderId="0" xfId="48" applyFont="1" applyFill="1" applyAlignment="1">
      <alignment vertical="top"/>
    </xf>
    <xf numFmtId="3" fontId="36" fillId="0" borderId="0" xfId="48" applyNumberFormat="1" applyFont="1" applyFill="1" applyAlignment="1">
      <alignment horizontal="left"/>
    </xf>
    <xf numFmtId="3" fontId="42" fillId="0" borderId="0" xfId="48" applyNumberFormat="1" applyFont="1" applyFill="1" applyBorder="1" applyAlignment="1"/>
    <xf numFmtId="0" fontId="4" fillId="0" borderId="0" xfId="48" applyFill="1"/>
    <xf numFmtId="3" fontId="27" fillId="0" borderId="0" xfId="48" applyNumberFormat="1" applyFont="1" applyFill="1" applyBorder="1" applyAlignment="1">
      <alignment horizontal="right" vertical="top"/>
    </xf>
    <xf numFmtId="0" fontId="26" fillId="0" borderId="0" xfId="48" applyNumberFormat="1" applyFont="1" applyFill="1" applyAlignment="1">
      <alignment horizontal="left" vertical="top" wrapText="1" indent="2"/>
    </xf>
    <xf numFmtId="0" fontId="31" fillId="0" borderId="0" xfId="48" applyNumberFormat="1" applyFont="1" applyFill="1" applyAlignment="1">
      <alignment horizontal="left" vertical="top" wrapText="1"/>
    </xf>
    <xf numFmtId="3" fontId="36" fillId="0" borderId="0" xfId="48" applyNumberFormat="1" applyFont="1" applyFill="1" applyAlignment="1">
      <alignment horizontal="left" vertical="top" wrapText="1" indent="1"/>
    </xf>
    <xf numFmtId="0" fontId="4" fillId="0" borderId="0" xfId="48" applyNumberFormat="1" applyFont="1" applyFill="1" applyAlignment="1">
      <alignment horizontal="left" vertical="top" wrapText="1" indent="4"/>
    </xf>
    <xf numFmtId="0" fontId="34" fillId="0" borderId="0" xfId="48" applyNumberFormat="1" applyFont="1" applyFill="1" applyAlignment="1">
      <alignment horizontal="left" vertical="top"/>
    </xf>
    <xf numFmtId="3" fontId="34" fillId="0" borderId="0" xfId="48" applyNumberFormat="1" applyFont="1" applyFill="1" applyAlignment="1">
      <alignment vertical="top"/>
    </xf>
    <xf numFmtId="3" fontId="32" fillId="0" borderId="0" xfId="48" applyNumberFormat="1" applyFont="1" applyFill="1" applyAlignment="1">
      <alignment vertical="top"/>
    </xf>
    <xf numFmtId="0" fontId="74" fillId="0" borderId="0" xfId="40" applyNumberFormat="1" applyFont="1" applyFill="1" applyBorder="1" applyAlignment="1" applyProtection="1">
      <alignment vertical="top" wrapText="1"/>
    </xf>
    <xf numFmtId="44" fontId="73" fillId="0" borderId="18" xfId="92" applyFont="1" applyFill="1" applyBorder="1" applyAlignment="1">
      <alignment horizontal="center" vertical="top" wrapText="1"/>
    </xf>
    <xf numFmtId="44" fontId="73" fillId="0" borderId="18" xfId="92" applyFont="1" applyFill="1" applyBorder="1" applyAlignment="1">
      <alignment horizontal="center" vertical="top" wrapText="1"/>
    </xf>
    <xf numFmtId="0" fontId="31" fillId="0" borderId="0" xfId="48" applyFont="1"/>
    <xf numFmtId="0" fontId="4" fillId="0" borderId="0" xfId="48"/>
    <xf numFmtId="0" fontId="26" fillId="0" borderId="0" xfId="48" applyFont="1"/>
    <xf numFmtId="0" fontId="4" fillId="0" borderId="0" xfId="48" applyAlignment="1">
      <alignment horizontal="right"/>
    </xf>
    <xf numFmtId="0" fontId="4" fillId="0" borderId="0" xfId="48" applyBorder="1"/>
    <xf numFmtId="3" fontId="4" fillId="0" borderId="0" xfId="48" applyNumberFormat="1"/>
    <xf numFmtId="0" fontId="4" fillId="0" borderId="0" xfId="48" applyFont="1"/>
    <xf numFmtId="164" fontId="4" fillId="0" borderId="0" xfId="48" applyNumberFormat="1" applyFont="1" applyAlignment="1">
      <alignment horizontal="right"/>
    </xf>
    <xf numFmtId="3" fontId="4" fillId="0" borderId="0" xfId="48" applyNumberFormat="1" applyFont="1"/>
    <xf numFmtId="0" fontId="46" fillId="0" borderId="0" xfId="48" applyFont="1" applyAlignment="1">
      <alignment horizontal="center"/>
    </xf>
    <xf numFmtId="0" fontId="44" fillId="0" borderId="0" xfId="48" applyFont="1" applyAlignment="1">
      <alignment horizontal="right"/>
    </xf>
    <xf numFmtId="0" fontId="26" fillId="0" borderId="20" xfId="48" applyFont="1" applyFill="1" applyBorder="1" applyAlignment="1" applyProtection="1">
      <alignment horizontal="left" vertical="top" wrapText="1" indent="1"/>
    </xf>
    <xf numFmtId="0" fontId="26" fillId="0" borderId="20" xfId="48" applyFont="1" applyFill="1" applyBorder="1" applyAlignment="1" applyProtection="1">
      <alignment horizontal="center" vertical="top" wrapText="1"/>
    </xf>
    <xf numFmtId="3" fontId="26" fillId="0" borderId="20" xfId="48" applyNumberFormat="1" applyFont="1" applyFill="1" applyBorder="1" applyAlignment="1" applyProtection="1">
      <alignment horizontal="center" vertical="top" wrapText="1"/>
    </xf>
    <xf numFmtId="165" fontId="73" fillId="0" borderId="20" xfId="155" applyNumberFormat="1" applyFont="1" applyFill="1" applyBorder="1" applyAlignment="1">
      <alignment horizontal="right" vertical="top" wrapText="1"/>
    </xf>
    <xf numFmtId="0" fontId="78" fillId="0" borderId="13" xfId="48" applyFont="1" applyBorder="1"/>
    <xf numFmtId="0" fontId="78" fillId="0" borderId="15" xfId="48" applyFont="1" applyBorder="1"/>
    <xf numFmtId="0" fontId="78" fillId="0" borderId="16" xfId="48" applyFont="1" applyBorder="1"/>
    <xf numFmtId="0" fontId="26" fillId="27" borderId="20" xfId="48" applyFont="1" applyFill="1" applyBorder="1" applyAlignment="1" applyProtection="1">
      <alignment horizontal="left" vertical="top" wrapText="1"/>
      <protection locked="0"/>
    </xf>
    <xf numFmtId="3" fontId="26" fillId="27" borderId="20" xfId="48" applyNumberFormat="1" applyFont="1" applyFill="1" applyBorder="1" applyAlignment="1" applyProtection="1">
      <alignment vertical="top"/>
      <protection locked="0"/>
    </xf>
    <xf numFmtId="0" fontId="4" fillId="0" borderId="21" xfId="48" applyFont="1" applyFill="1" applyBorder="1" applyAlignment="1" applyProtection="1">
      <alignment horizontal="right" vertical="top" wrapText="1"/>
      <protection locked="0"/>
    </xf>
    <xf numFmtId="0" fontId="4" fillId="0" borderId="20" xfId="48" applyFont="1" applyFill="1" applyBorder="1" applyAlignment="1" applyProtection="1">
      <alignment horizontal="left" vertical="top" wrapText="1"/>
    </xf>
    <xf numFmtId="3" fontId="4" fillId="0" borderId="12" xfId="48" applyNumberFormat="1" applyFont="1" applyFill="1" applyBorder="1" applyAlignment="1" applyProtection="1">
      <alignment horizontal="right" vertical="top" wrapText="1"/>
    </xf>
    <xf numFmtId="0" fontId="4" fillId="0" borderId="17" xfId="48" applyFont="1" applyFill="1" applyBorder="1" applyAlignment="1" applyProtection="1">
      <alignment horizontal="left" vertical="top" wrapText="1"/>
      <protection locked="0"/>
    </xf>
    <xf numFmtId="0" fontId="26" fillId="28" borderId="20" xfId="48" applyFont="1" applyFill="1" applyBorder="1" applyAlignment="1" applyProtection="1">
      <alignment horizontal="left" vertical="top" wrapText="1"/>
      <protection locked="0"/>
    </xf>
    <xf numFmtId="3" fontId="26" fillId="28" borderId="20" xfId="48" applyNumberFormat="1" applyFont="1" applyFill="1" applyBorder="1" applyAlignment="1" applyProtection="1">
      <alignment vertical="top"/>
      <protection locked="0"/>
    </xf>
    <xf numFmtId="0" fontId="26" fillId="29" borderId="21" xfId="48" applyFont="1" applyFill="1" applyBorder="1" applyAlignment="1" applyProtection="1">
      <alignment horizontal="left" vertical="top" wrapText="1"/>
      <protection locked="0"/>
    </xf>
    <xf numFmtId="0" fontId="46" fillId="29" borderId="17" xfId="48" applyFont="1" applyFill="1" applyBorder="1" applyAlignment="1" applyProtection="1">
      <alignment horizontal="left" vertical="top"/>
      <protection locked="0"/>
    </xf>
    <xf numFmtId="3" fontId="26" fillId="29" borderId="17" xfId="48" applyNumberFormat="1" applyFont="1" applyFill="1" applyBorder="1" applyAlignment="1" applyProtection="1">
      <alignment vertical="top"/>
      <protection locked="0"/>
    </xf>
    <xf numFmtId="0" fontId="4" fillId="0" borderId="14" xfId="48" applyFont="1" applyFill="1" applyBorder="1" applyAlignment="1" applyProtection="1">
      <alignment horizontal="right" vertical="top" wrapText="1"/>
      <protection locked="0"/>
    </xf>
    <xf numFmtId="0" fontId="44" fillId="0" borderId="20" xfId="48" applyFont="1" applyFill="1" applyBorder="1" applyAlignment="1" applyProtection="1">
      <alignment horizontal="left" vertical="top"/>
      <protection locked="0"/>
    </xf>
    <xf numFmtId="3" fontId="4" fillId="0" borderId="20" xfId="48" applyNumberFormat="1" applyFont="1" applyFill="1" applyBorder="1" applyAlignment="1" applyProtection="1">
      <alignment vertical="top"/>
      <protection locked="0"/>
    </xf>
    <xf numFmtId="0" fontId="26" fillId="30" borderId="20" xfId="48" applyFont="1" applyFill="1" applyBorder="1" applyAlignment="1" applyProtection="1">
      <alignment horizontal="left" vertical="top" wrapText="1"/>
      <protection locked="0"/>
    </xf>
    <xf numFmtId="0" fontId="46" fillId="30" borderId="20" xfId="48" applyFont="1" applyFill="1" applyBorder="1" applyAlignment="1" applyProtection="1">
      <alignment horizontal="left" vertical="top"/>
      <protection locked="0"/>
    </xf>
    <xf numFmtId="3" fontId="26" fillId="30" borderId="20" xfId="48" applyNumberFormat="1" applyFont="1" applyFill="1" applyBorder="1" applyAlignment="1" applyProtection="1">
      <alignment vertical="top"/>
      <protection locked="0"/>
    </xf>
    <xf numFmtId="0" fontId="4" fillId="0" borderId="14" xfId="48" applyFont="1" applyFill="1" applyBorder="1" applyAlignment="1" applyProtection="1">
      <alignment horizontal="left" vertical="top" wrapText="1"/>
      <protection locked="0"/>
    </xf>
    <xf numFmtId="0" fontId="44" fillId="0" borderId="14" xfId="48" applyFont="1" applyFill="1" applyBorder="1" applyAlignment="1" applyProtection="1">
      <alignment horizontal="left" vertical="top"/>
      <protection locked="0"/>
    </xf>
    <xf numFmtId="3" fontId="4" fillId="0" borderId="14" xfId="48" applyNumberFormat="1" applyFont="1" applyFill="1" applyBorder="1" applyAlignment="1" applyProtection="1">
      <alignment vertical="top"/>
      <protection locked="0"/>
    </xf>
    <xf numFmtId="0" fontId="44" fillId="0" borderId="17" xfId="48" applyFont="1" applyFill="1" applyBorder="1" applyAlignment="1" applyProtection="1">
      <alignment horizontal="left" vertical="top"/>
      <protection locked="0"/>
    </xf>
    <xf numFmtId="3" fontId="4" fillId="0" borderId="17" xfId="48" applyNumberFormat="1" applyFont="1" applyFill="1" applyBorder="1" applyAlignment="1" applyProtection="1">
      <alignment vertical="top"/>
      <protection locked="0"/>
    </xf>
    <xf numFmtId="0" fontId="44" fillId="0" borderId="22" xfId="48" applyFont="1" applyFill="1" applyBorder="1" applyAlignment="1" applyProtection="1">
      <alignment horizontal="left" wrapText="1"/>
      <protection locked="0"/>
    </xf>
    <xf numFmtId="0" fontId="44" fillId="0" borderId="21" xfId="48" applyFont="1" applyFill="1" applyBorder="1" applyAlignment="1" applyProtection="1">
      <alignment horizontal="left" vertical="top"/>
      <protection locked="0"/>
    </xf>
    <xf numFmtId="3" fontId="4" fillId="0" borderId="21" xfId="48" applyNumberFormat="1" applyFont="1" applyFill="1" applyBorder="1" applyAlignment="1" applyProtection="1">
      <alignment vertical="top"/>
      <protection locked="0"/>
    </xf>
    <xf numFmtId="0" fontId="24" fillId="0" borderId="14" xfId="48" applyFont="1" applyFill="1" applyBorder="1" applyAlignment="1" applyProtection="1">
      <alignment horizontal="right" vertical="top" wrapText="1"/>
      <protection locked="0"/>
    </xf>
    <xf numFmtId="0" fontId="24" fillId="0" borderId="14" xfId="48" applyFont="1" applyFill="1" applyBorder="1" applyAlignment="1" applyProtection="1">
      <alignment horizontal="left" vertical="top"/>
      <protection locked="0"/>
    </xf>
    <xf numFmtId="0" fontId="24" fillId="0" borderId="21" xfId="48" applyFont="1" applyFill="1" applyBorder="1" applyAlignment="1" applyProtection="1">
      <alignment horizontal="right" vertical="top" wrapText="1"/>
      <protection locked="0"/>
    </xf>
    <xf numFmtId="0" fontId="24" fillId="0" borderId="20" xfId="48" applyFont="1" applyFill="1" applyBorder="1" applyAlignment="1" applyProtection="1">
      <alignment horizontal="left" vertical="top"/>
      <protection locked="0"/>
    </xf>
    <xf numFmtId="0" fontId="24" fillId="0" borderId="17" xfId="48" applyFont="1" applyFill="1" applyBorder="1" applyAlignment="1" applyProtection="1">
      <alignment horizontal="left" vertical="top" wrapText="1"/>
      <protection locked="0"/>
    </xf>
    <xf numFmtId="0" fontId="24" fillId="0" borderId="17" xfId="48" applyFont="1" applyFill="1" applyBorder="1" applyAlignment="1" applyProtection="1">
      <alignment horizontal="left" vertical="top"/>
      <protection locked="0"/>
    </xf>
    <xf numFmtId="0" fontId="24" fillId="0" borderId="17" xfId="48" applyFont="1" applyFill="1" applyBorder="1" applyAlignment="1" applyProtection="1">
      <alignment horizontal="left" vertical="top" wrapText="1" indent="1"/>
      <protection locked="0"/>
    </xf>
    <xf numFmtId="3" fontId="24" fillId="0" borderId="17" xfId="48" applyNumberFormat="1" applyFont="1" applyFill="1" applyBorder="1" applyAlignment="1" applyProtection="1">
      <alignment vertical="top"/>
      <protection locked="0"/>
    </xf>
    <xf numFmtId="3" fontId="24" fillId="0" borderId="20" xfId="48" applyNumberFormat="1" applyFont="1" applyFill="1" applyBorder="1" applyAlignment="1" applyProtection="1">
      <alignment vertical="top"/>
      <protection locked="0"/>
    </xf>
    <xf numFmtId="0" fontId="4" fillId="0" borderId="23" xfId="48" applyFont="1" applyFill="1" applyBorder="1" applyAlignment="1" applyProtection="1">
      <alignment horizontal="right" vertical="top" wrapText="1"/>
      <protection locked="0"/>
    </xf>
    <xf numFmtId="0" fontId="79" fillId="0" borderId="20" xfId="48" applyFont="1" applyFill="1" applyBorder="1" applyAlignment="1" applyProtection="1">
      <alignment horizontal="left" vertical="top"/>
      <protection locked="0"/>
    </xf>
    <xf numFmtId="0" fontId="33" fillId="0" borderId="17" xfId="48" applyFont="1" applyFill="1" applyBorder="1" applyAlignment="1" applyProtection="1">
      <alignment horizontal="left" vertical="top" wrapText="1"/>
      <protection locked="0"/>
    </xf>
    <xf numFmtId="0" fontId="79" fillId="0" borderId="17" xfId="48" applyFont="1" applyFill="1" applyBorder="1" applyAlignment="1" applyProtection="1">
      <alignment horizontal="left" vertical="top"/>
      <protection locked="0"/>
    </xf>
    <xf numFmtId="0" fontId="38" fillId="0" borderId="14" xfId="48" applyFont="1" applyFill="1" applyBorder="1" applyAlignment="1" applyProtection="1">
      <alignment horizontal="right" vertical="top" wrapText="1"/>
      <protection locked="0"/>
    </xf>
    <xf numFmtId="3" fontId="38" fillId="0" borderId="20" xfId="48" applyNumberFormat="1" applyFont="1" applyFill="1" applyBorder="1" applyAlignment="1" applyProtection="1">
      <alignment vertical="top"/>
      <protection locked="0"/>
    </xf>
    <xf numFmtId="0" fontId="38" fillId="0" borderId="17" xfId="48" applyFont="1" applyFill="1" applyBorder="1" applyAlignment="1" applyProtection="1">
      <alignment horizontal="left" vertical="top" wrapText="1"/>
      <protection locked="0"/>
    </xf>
    <xf numFmtId="3" fontId="38" fillId="0" borderId="17" xfId="48" applyNumberFormat="1" applyFont="1" applyFill="1" applyBorder="1" applyAlignment="1" applyProtection="1">
      <alignment vertical="top"/>
      <protection locked="0"/>
    </xf>
    <xf numFmtId="3" fontId="26" fillId="29" borderId="20" xfId="48" applyNumberFormat="1" applyFont="1" applyFill="1" applyBorder="1" applyAlignment="1" applyProtection="1">
      <alignment vertical="top"/>
      <protection locked="0"/>
    </xf>
    <xf numFmtId="0" fontId="44" fillId="0" borderId="12" xfId="48" applyFont="1" applyFill="1" applyBorder="1" applyAlignment="1" applyProtection="1">
      <alignment horizontal="left" vertical="top"/>
      <protection locked="0"/>
    </xf>
    <xf numFmtId="0" fontId="4" fillId="0" borderId="22" xfId="48" applyFont="1" applyFill="1" applyBorder="1" applyAlignment="1" applyProtection="1">
      <alignment horizontal="right" vertical="top" wrapText="1"/>
      <protection locked="0"/>
    </xf>
    <xf numFmtId="0" fontId="33" fillId="0" borderId="20" xfId="48" applyFont="1" applyFill="1" applyBorder="1" applyAlignment="1" applyProtection="1">
      <alignment horizontal="left" vertical="top" wrapText="1"/>
      <protection locked="0"/>
    </xf>
    <xf numFmtId="0" fontId="80" fillId="0" borderId="20" xfId="48" applyFont="1" applyFill="1" applyBorder="1" applyAlignment="1" applyProtection="1">
      <alignment horizontal="left" vertical="top"/>
      <protection locked="0"/>
    </xf>
    <xf numFmtId="3" fontId="33" fillId="0" borderId="17" xfId="48" applyNumberFormat="1" applyFont="1" applyFill="1" applyBorder="1" applyAlignment="1" applyProtection="1">
      <alignment vertical="top"/>
      <protection locked="0"/>
    </xf>
    <xf numFmtId="0" fontId="24" fillId="0" borderId="14" xfId="48" applyFont="1" applyFill="1" applyBorder="1" applyAlignment="1" applyProtection="1">
      <alignment horizontal="left" vertical="top" wrapText="1" indent="1"/>
      <protection locked="0"/>
    </xf>
    <xf numFmtId="0" fontId="24" fillId="0" borderId="20" xfId="48" applyFont="1" applyFill="1" applyBorder="1" applyAlignment="1" applyProtection="1">
      <alignment horizontal="left" vertical="top" wrapText="1" indent="2"/>
      <protection locked="0"/>
    </xf>
    <xf numFmtId="0" fontId="24" fillId="0" borderId="13" xfId="48" applyFont="1" applyFill="1" applyBorder="1" applyAlignment="1" applyProtection="1">
      <alignment horizontal="left" vertical="top" indent="3"/>
      <protection locked="0"/>
    </xf>
    <xf numFmtId="0" fontId="33" fillId="0" borderId="14" xfId="48" applyFont="1" applyFill="1" applyBorder="1" applyAlignment="1" applyProtection="1">
      <alignment horizontal="left" vertical="top" wrapText="1"/>
      <protection locked="0"/>
    </xf>
    <xf numFmtId="3" fontId="81" fillId="0" borderId="20" xfId="48" applyNumberFormat="1" applyFont="1" applyFill="1" applyBorder="1" applyAlignment="1" applyProtection="1">
      <alignment vertical="top"/>
      <protection locked="0"/>
    </xf>
    <xf numFmtId="0" fontId="24" fillId="0" borderId="13" xfId="48" applyFont="1" applyFill="1" applyBorder="1" applyAlignment="1" applyProtection="1">
      <alignment horizontal="left" vertical="top" wrapText="1" indent="3"/>
      <protection locked="0"/>
    </xf>
    <xf numFmtId="0" fontId="24" fillId="0" borderId="20" xfId="48" applyFont="1" applyFill="1" applyBorder="1" applyAlignment="1" applyProtection="1">
      <alignment horizontal="left" vertical="top" wrapText="1" indent="1"/>
      <protection locked="0"/>
    </xf>
    <xf numFmtId="0" fontId="24" fillId="0" borderId="13" xfId="48" applyFont="1" applyFill="1" applyBorder="1" applyAlignment="1" applyProtection="1">
      <alignment horizontal="left" vertical="top" wrapText="1" indent="2"/>
      <protection locked="0"/>
    </xf>
    <xf numFmtId="0" fontId="80" fillId="0" borderId="20" xfId="48" applyFont="1" applyFill="1" applyBorder="1" applyAlignment="1" applyProtection="1">
      <alignment vertical="top"/>
      <protection locked="0"/>
    </xf>
    <xf numFmtId="3" fontId="33" fillId="0" borderId="20" xfId="48" applyNumberFormat="1" applyFont="1" applyFill="1" applyBorder="1" applyAlignment="1" applyProtection="1">
      <alignment vertical="top"/>
      <protection locked="0"/>
    </xf>
    <xf numFmtId="0" fontId="24" fillId="0" borderId="20" xfId="48" applyFont="1" applyFill="1" applyBorder="1" applyAlignment="1" applyProtection="1">
      <alignment vertical="top"/>
      <protection locked="0"/>
    </xf>
    <xf numFmtId="3" fontId="24" fillId="0" borderId="20" xfId="48" applyNumberFormat="1" applyFont="1" applyFill="1" applyBorder="1" applyAlignment="1" applyProtection="1">
      <alignment horizontal="left" vertical="top" indent="1"/>
      <protection locked="0"/>
    </xf>
    <xf numFmtId="0" fontId="4" fillId="0" borderId="20" xfId="48" applyFont="1" applyFill="1" applyBorder="1" applyAlignment="1" applyProtection="1">
      <alignment horizontal="left" vertical="top" wrapText="1"/>
      <protection locked="0"/>
    </xf>
    <xf numFmtId="0" fontId="4" fillId="0" borderId="0" xfId="48" applyFont="1" applyFill="1" applyBorder="1" applyAlignment="1" applyProtection="1">
      <alignment horizontal="left" vertical="top" wrapText="1"/>
      <protection locked="0"/>
    </xf>
    <xf numFmtId="0" fontId="24" fillId="0" borderId="13" xfId="48" applyFont="1" applyFill="1" applyBorder="1" applyAlignment="1" applyProtection="1">
      <alignment horizontal="left" vertical="top" wrapText="1" indent="1"/>
      <protection locked="0"/>
    </xf>
    <xf numFmtId="0" fontId="4" fillId="0" borderId="20" xfId="48" applyFont="1" applyFill="1" applyBorder="1" applyAlignment="1" applyProtection="1">
      <alignment vertical="top" wrapText="1"/>
      <protection locked="0"/>
    </xf>
    <xf numFmtId="0" fontId="36" fillId="0" borderId="20" xfId="48" applyFont="1" applyFill="1" applyBorder="1" applyAlignment="1" applyProtection="1">
      <alignment horizontal="left" vertical="top" wrapText="1" indent="1"/>
      <protection locked="0"/>
    </xf>
    <xf numFmtId="3" fontId="42" fillId="0" borderId="20" xfId="48" applyNumberFormat="1" applyFont="1" applyFill="1" applyBorder="1" applyAlignment="1" applyProtection="1">
      <alignment vertical="top"/>
      <protection locked="0"/>
    </xf>
    <xf numFmtId="0" fontId="4" fillId="0" borderId="20" xfId="48" applyFont="1" applyFill="1" applyBorder="1" applyAlignment="1" applyProtection="1">
      <alignment horizontal="left" vertical="top"/>
      <protection locked="0"/>
    </xf>
    <xf numFmtId="0" fontId="35" fillId="0" borderId="17" xfId="48" applyFont="1" applyFill="1" applyBorder="1" applyAlignment="1" applyProtection="1">
      <alignment horizontal="left" vertical="top" wrapText="1"/>
      <protection locked="0"/>
    </xf>
    <xf numFmtId="0" fontId="4" fillId="0" borderId="23" xfId="48" applyFont="1" applyFill="1" applyBorder="1" applyAlignment="1" applyProtection="1">
      <alignment horizontal="left" vertical="top" wrapText="1"/>
      <protection locked="0"/>
    </xf>
    <xf numFmtId="0" fontId="36" fillId="0" borderId="17" xfId="48" applyFont="1" applyFill="1" applyBorder="1" applyAlignment="1" applyProtection="1">
      <alignment horizontal="left" vertical="top" wrapText="1"/>
      <protection locked="0"/>
    </xf>
    <xf numFmtId="0" fontId="35" fillId="0" borderId="20" xfId="48" applyFont="1" applyFill="1" applyBorder="1" applyAlignment="1" applyProtection="1">
      <alignment horizontal="left" vertical="top" wrapText="1"/>
      <protection locked="0"/>
    </xf>
    <xf numFmtId="0" fontId="43" fillId="0" borderId="20" xfId="48" applyFont="1" applyFill="1" applyBorder="1" applyAlignment="1" applyProtection="1">
      <alignment horizontal="left" vertical="top" wrapText="1" indent="1"/>
      <protection locked="0"/>
    </xf>
    <xf numFmtId="0" fontId="26" fillId="29" borderId="17" xfId="48" applyFont="1" applyFill="1" applyBorder="1" applyAlignment="1" applyProtection="1">
      <alignment horizontal="left" vertical="top" wrapText="1" indent="1"/>
      <protection locked="0"/>
    </xf>
    <xf numFmtId="0" fontId="26" fillId="29" borderId="17" xfId="48" applyFont="1" applyFill="1" applyBorder="1" applyAlignment="1" applyProtection="1">
      <alignment horizontal="left" vertical="top"/>
      <protection locked="0"/>
    </xf>
    <xf numFmtId="0" fontId="4" fillId="0" borderId="10" xfId="48" applyFont="1" applyFill="1" applyBorder="1" applyAlignment="1" applyProtection="1">
      <alignment horizontal="left" vertical="top" wrapText="1"/>
      <protection locked="0"/>
    </xf>
    <xf numFmtId="0" fontId="44" fillId="0" borderId="11" xfId="48" applyFont="1" applyFill="1" applyBorder="1" applyAlignment="1" applyProtection="1">
      <alignment horizontal="left" vertical="top"/>
      <protection locked="0"/>
    </xf>
    <xf numFmtId="3" fontId="4" fillId="0" borderId="11" xfId="48" applyNumberFormat="1" applyFont="1" applyFill="1" applyBorder="1" applyAlignment="1" applyProtection="1">
      <alignment vertical="top"/>
      <protection locked="0"/>
    </xf>
    <xf numFmtId="3" fontId="4" fillId="0" borderId="12" xfId="48" applyNumberFormat="1" applyFont="1" applyFill="1" applyBorder="1" applyAlignment="1" applyProtection="1">
      <alignment vertical="top"/>
      <protection locked="0"/>
    </xf>
    <xf numFmtId="3" fontId="4" fillId="0" borderId="0" xfId="48" applyNumberFormat="1" applyFont="1" applyFill="1" applyBorder="1" applyAlignment="1" applyProtection="1">
      <alignment vertical="top"/>
      <protection locked="0"/>
    </xf>
    <xf numFmtId="0" fontId="24" fillId="0" borderId="20" xfId="48" applyFont="1" applyBorder="1" applyAlignment="1">
      <alignment horizontal="left" wrapText="1" indent="1"/>
    </xf>
    <xf numFmtId="0" fontId="26" fillId="30" borderId="20" xfId="48" applyFont="1" applyFill="1" applyBorder="1" applyAlignment="1" applyProtection="1">
      <alignment horizontal="left" vertical="top"/>
      <protection locked="0"/>
    </xf>
    <xf numFmtId="0" fontId="4" fillId="0" borderId="13" xfId="48" applyFont="1" applyFill="1" applyBorder="1" applyAlignment="1" applyProtection="1">
      <alignment horizontal="left" vertical="top" wrapText="1"/>
      <protection locked="0"/>
    </xf>
    <xf numFmtId="0" fontId="44" fillId="0" borderId="15" xfId="48" applyFont="1" applyFill="1" applyBorder="1" applyAlignment="1" applyProtection="1">
      <alignment horizontal="left" vertical="top"/>
      <protection locked="0"/>
    </xf>
    <xf numFmtId="3" fontId="4" fillId="0" borderId="15" xfId="48" applyNumberFormat="1" applyFont="1" applyFill="1" applyBorder="1" applyAlignment="1" applyProtection="1">
      <alignment vertical="top"/>
      <protection locked="0"/>
    </xf>
    <xf numFmtId="3" fontId="4" fillId="0" borderId="16" xfId="48" applyNumberFormat="1" applyFont="1" applyFill="1" applyBorder="1" applyAlignment="1" applyProtection="1">
      <alignment vertical="top"/>
      <protection locked="0"/>
    </xf>
    <xf numFmtId="0" fontId="26" fillId="32" borderId="21" xfId="48" applyFont="1" applyFill="1" applyBorder="1" applyAlignment="1" applyProtection="1">
      <alignment horizontal="left" vertical="top" wrapText="1"/>
      <protection locked="0"/>
    </xf>
    <xf numFmtId="0" fontId="46" fillId="32" borderId="17" xfId="48" applyFont="1" applyFill="1" applyBorder="1" applyAlignment="1" applyProtection="1">
      <alignment horizontal="left" vertical="top"/>
      <protection locked="0"/>
    </xf>
    <xf numFmtId="3" fontId="26" fillId="32" borderId="20" xfId="48" applyNumberFormat="1" applyFont="1" applyFill="1" applyBorder="1" applyAlignment="1" applyProtection="1">
      <alignment vertical="top"/>
      <protection locked="0"/>
    </xf>
    <xf numFmtId="0" fontId="38" fillId="0" borderId="20" xfId="48" applyFont="1" applyFill="1" applyBorder="1" applyAlignment="1" applyProtection="1">
      <alignment horizontal="left" vertical="top" wrapText="1"/>
      <protection locked="0"/>
    </xf>
    <xf numFmtId="0" fontId="26" fillId="33" borderId="20" xfId="48" applyFont="1" applyFill="1" applyBorder="1" applyAlignment="1" applyProtection="1">
      <alignment horizontal="left" vertical="top" wrapText="1"/>
      <protection locked="0"/>
    </xf>
    <xf numFmtId="3" fontId="26" fillId="33" borderId="20" xfId="48" applyNumberFormat="1" applyFont="1" applyFill="1" applyBorder="1" applyAlignment="1" applyProtection="1">
      <alignment vertical="top"/>
      <protection locked="0"/>
    </xf>
    <xf numFmtId="0" fontId="44" fillId="0" borderId="0" xfId="48" applyFont="1" applyFill="1" applyBorder="1" applyAlignment="1" applyProtection="1">
      <alignment horizontal="left" vertical="top"/>
      <protection locked="0"/>
    </xf>
    <xf numFmtId="0" fontId="44" fillId="0" borderId="0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left" vertical="top" wrapText="1"/>
    </xf>
    <xf numFmtId="0" fontId="78" fillId="0" borderId="0" xfId="48" applyFont="1"/>
    <xf numFmtId="0" fontId="79" fillId="0" borderId="0" xfId="48" applyFont="1" applyFill="1" applyBorder="1" applyAlignment="1" applyProtection="1">
      <alignment horizontal="left" vertical="top" wrapText="1"/>
      <protection locked="0"/>
    </xf>
    <xf numFmtId="165" fontId="4" fillId="0" borderId="0" xfId="48" applyNumberFormat="1"/>
    <xf numFmtId="0" fontId="4" fillId="0" borderId="0" xfId="48" applyFont="1" applyFill="1" applyBorder="1" applyAlignment="1">
      <alignment horizontal="right"/>
    </xf>
    <xf numFmtId="165" fontId="73" fillId="0" borderId="11" xfId="155" applyNumberFormat="1" applyFont="1" applyFill="1" applyBorder="1" applyAlignment="1">
      <alignment horizontal="right" vertical="top" wrapText="1"/>
    </xf>
    <xf numFmtId="3" fontId="26" fillId="0" borderId="0" xfId="48" applyNumberFormat="1" applyFont="1"/>
    <xf numFmtId="0" fontId="4" fillId="0" borderId="0" xfId="48" applyFont="1" applyAlignment="1">
      <alignment horizontal="left" indent="3"/>
    </xf>
    <xf numFmtId="0" fontId="4" fillId="0" borderId="0" xfId="48" applyFont="1" applyAlignment="1">
      <alignment horizontal="left" indent="5"/>
    </xf>
    <xf numFmtId="0" fontId="4" fillId="0" borderId="0" xfId="48" applyAlignment="1">
      <alignment horizontal="left" indent="3"/>
    </xf>
    <xf numFmtId="0" fontId="44" fillId="0" borderId="0" xfId="48" applyFont="1" applyBorder="1" applyAlignment="1">
      <alignment horizontal="left" indent="1"/>
    </xf>
    <xf numFmtId="165" fontId="37" fillId="0" borderId="0" xfId="48" applyNumberFormat="1" applyFont="1"/>
    <xf numFmtId="0" fontId="4" fillId="0" borderId="0" xfId="48" applyAlignment="1"/>
    <xf numFmtId="0" fontId="25" fillId="0" borderId="0" xfId="48" applyFont="1" applyBorder="1" applyAlignment="1">
      <alignment horizontal="left"/>
    </xf>
    <xf numFmtId="0" fontId="38" fillId="0" borderId="0" xfId="48" applyFont="1"/>
    <xf numFmtId="0" fontId="25" fillId="0" borderId="0" xfId="48" applyFont="1" applyFill="1" applyBorder="1" applyAlignment="1">
      <alignment horizontal="left"/>
    </xf>
    <xf numFmtId="0" fontId="38" fillId="0" borderId="0" xfId="48" applyFont="1" applyFill="1" applyBorder="1" applyAlignment="1">
      <alignment horizontal="right"/>
    </xf>
    <xf numFmtId="0" fontId="37" fillId="0" borderId="0" xfId="48" applyFont="1" applyBorder="1"/>
    <xf numFmtId="0" fontId="4" fillId="0" borderId="0" xfId="48" applyFont="1" applyBorder="1" applyAlignment="1">
      <alignment horizontal="left" indent="1"/>
    </xf>
    <xf numFmtId="0" fontId="4" fillId="0" borderId="0" xfId="48" applyFont="1" applyBorder="1" applyAlignment="1">
      <alignment horizontal="left" indent="2"/>
    </xf>
    <xf numFmtId="0" fontId="4" fillId="0" borderId="0" xfId="48" applyFont="1" applyFill="1" applyBorder="1" applyAlignment="1">
      <alignment horizontal="left" indent="2"/>
    </xf>
    <xf numFmtId="0" fontId="4" fillId="0" borderId="0" xfId="48" applyFont="1" applyFill="1" applyBorder="1" applyAlignment="1">
      <alignment horizontal="left" indent="1"/>
    </xf>
    <xf numFmtId="0" fontId="37" fillId="0" borderId="0" xfId="48" applyFont="1" applyFill="1" applyBorder="1"/>
    <xf numFmtId="0" fontId="4" fillId="0" borderId="0" xfId="48" applyFill="1" applyBorder="1"/>
    <xf numFmtId="0" fontId="38" fillId="0" borderId="0" xfId="48" applyFont="1" applyBorder="1" applyAlignment="1">
      <alignment horizontal="left" indent="1"/>
    </xf>
    <xf numFmtId="0" fontId="38" fillId="0" borderId="0" xfId="48" applyFont="1" applyBorder="1" applyAlignment="1">
      <alignment horizontal="left" indent="2"/>
    </xf>
    <xf numFmtId="3" fontId="77" fillId="0" borderId="0" xfId="48" applyNumberFormat="1" applyFont="1"/>
    <xf numFmtId="0" fontId="25" fillId="0" borderId="0" xfId="48" applyFont="1" applyBorder="1" applyAlignment="1">
      <alignment horizontal="left" wrapText="1"/>
    </xf>
    <xf numFmtId="0" fontId="27" fillId="0" borderId="0" xfId="48" applyFont="1" applyAlignment="1">
      <alignment horizontal="center" wrapText="1"/>
    </xf>
    <xf numFmtId="0" fontId="31" fillId="0" borderId="0" xfId="48" applyFont="1" applyFill="1"/>
    <xf numFmtId="0" fontId="82" fillId="0" borderId="0" xfId="48" applyFont="1"/>
    <xf numFmtId="0" fontId="27" fillId="0" borderId="0" xfId="39" applyNumberFormat="1" applyFont="1" applyFill="1" applyBorder="1" applyAlignment="1" applyProtection="1">
      <alignment horizontal="left" indent="6"/>
    </xf>
    <xf numFmtId="3" fontId="26" fillId="0" borderId="0" xfId="48" applyNumberFormat="1" applyFont="1" applyFill="1" applyBorder="1"/>
    <xf numFmtId="0" fontId="26" fillId="0" borderId="0" xfId="48" applyFont="1" applyFill="1" applyBorder="1" applyAlignment="1">
      <alignment horizontal="left" indent="2"/>
    </xf>
    <xf numFmtId="0" fontId="26" fillId="0" borderId="0" xfId="48" applyFont="1" applyFill="1" applyBorder="1"/>
    <xf numFmtId="165" fontId="4" fillId="0" borderId="0" xfId="48" applyNumberFormat="1" applyFont="1"/>
    <xf numFmtId="9" fontId="4" fillId="0" borderId="0" xfId="48" applyNumberFormat="1" applyFont="1"/>
    <xf numFmtId="14" fontId="4" fillId="0" borderId="0" xfId="48" applyNumberFormat="1" applyFont="1"/>
    <xf numFmtId="9" fontId="26" fillId="0" borderId="0" xfId="48" applyNumberFormat="1" applyFont="1"/>
    <xf numFmtId="165" fontId="26" fillId="0" borderId="0" xfId="48" applyNumberFormat="1" applyFont="1"/>
    <xf numFmtId="164" fontId="4" fillId="0" borderId="0" xfId="48" applyNumberFormat="1" applyFont="1"/>
    <xf numFmtId="0" fontId="35" fillId="0" borderId="0" xfId="39" applyFont="1" applyFill="1" applyBorder="1" applyAlignment="1" applyProtection="1">
      <alignment horizontal="left" wrapText="1"/>
    </xf>
    <xf numFmtId="0" fontId="83" fillId="0" borderId="0" xfId="39" applyFont="1" applyFill="1" applyBorder="1" applyAlignment="1" applyProtection="1">
      <alignment horizontal="left" wrapText="1"/>
    </xf>
    <xf numFmtId="0" fontId="26" fillId="0" borderId="0" xfId="48" applyFont="1" applyFill="1" applyBorder="1" applyAlignment="1">
      <alignment vertical="top"/>
    </xf>
    <xf numFmtId="0" fontId="26" fillId="0" borderId="0" xfId="48" applyFont="1" applyFill="1" applyBorder="1" applyAlignment="1">
      <alignment horizontal="center" vertical="top"/>
    </xf>
    <xf numFmtId="3" fontId="4" fillId="0" borderId="0" xfId="48" applyNumberFormat="1" applyFont="1" applyFill="1" applyBorder="1"/>
    <xf numFmtId="3" fontId="26" fillId="0" borderId="0" xfId="48" applyNumberFormat="1" applyFont="1" applyFill="1" applyBorder="1" applyAlignment="1">
      <alignment horizontal="left"/>
    </xf>
    <xf numFmtId="0" fontId="4" fillId="0" borderId="0" xfId="48" applyFont="1" applyFill="1" applyBorder="1" applyAlignment="1">
      <alignment horizontal="left" indent="3"/>
    </xf>
    <xf numFmtId="3" fontId="4" fillId="0" borderId="0" xfId="48" applyNumberFormat="1" applyFont="1" applyFill="1" applyBorder="1" applyAlignment="1">
      <alignment horizontal="left" indent="1"/>
    </xf>
    <xf numFmtId="3" fontId="4" fillId="0" borderId="0" xfId="48" applyNumberFormat="1" applyFont="1" applyFill="1" applyBorder="1" applyAlignment="1">
      <alignment horizontal="left"/>
    </xf>
    <xf numFmtId="0" fontId="4" fillId="0" borderId="0" xfId="48" quotePrefix="1" applyFont="1" applyFill="1" applyBorder="1"/>
    <xf numFmtId="3" fontId="4" fillId="0" borderId="0" xfId="48" quotePrefix="1" applyNumberFormat="1" applyFont="1" applyFill="1" applyBorder="1"/>
    <xf numFmtId="2" fontId="27" fillId="0" borderId="0" xfId="48" applyNumberFormat="1" applyFont="1" applyFill="1" applyBorder="1" applyAlignment="1">
      <alignment horizontal="left" indent="2"/>
    </xf>
    <xf numFmtId="3" fontId="27" fillId="0" borderId="0" xfId="48" applyNumberFormat="1" applyFont="1" applyFill="1" applyBorder="1" applyAlignment="1">
      <alignment horizontal="left" indent="2"/>
    </xf>
    <xf numFmtId="3" fontId="4" fillId="0" borderId="0" xfId="48" applyNumberFormat="1" applyFill="1"/>
    <xf numFmtId="0" fontId="26" fillId="0" borderId="0" xfId="48" applyFont="1" applyFill="1" applyBorder="1" applyAlignment="1">
      <alignment wrapText="1"/>
    </xf>
    <xf numFmtId="3" fontId="4" fillId="0" borderId="17" xfId="0" applyNumberFormat="1" applyFont="1" applyFill="1" applyBorder="1" applyAlignment="1" applyProtection="1">
      <alignment vertical="top"/>
      <protection locked="0"/>
    </xf>
    <xf numFmtId="3" fontId="4" fillId="0" borderId="20" xfId="0" applyNumberFormat="1" applyFont="1" applyFill="1" applyBorder="1" applyAlignment="1" applyProtection="1">
      <alignment vertical="top"/>
      <protection locked="0"/>
    </xf>
    <xf numFmtId="3" fontId="38" fillId="0" borderId="20" xfId="0" applyNumberFormat="1" applyFont="1" applyFill="1" applyBorder="1" applyAlignment="1" applyProtection="1">
      <alignment vertical="top"/>
      <protection locked="0"/>
    </xf>
    <xf numFmtId="3" fontId="38" fillId="0" borderId="17" xfId="0" applyNumberFormat="1" applyFont="1" applyFill="1" applyBorder="1" applyAlignment="1" applyProtection="1">
      <alignment vertical="top"/>
      <protection locked="0"/>
    </xf>
    <xf numFmtId="3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3" fontId="84" fillId="0" borderId="0" xfId="0" applyNumberFormat="1" applyFont="1" applyFill="1" applyBorder="1" applyAlignment="1">
      <alignment horizontal="right"/>
    </xf>
    <xf numFmtId="0" fontId="4" fillId="0" borderId="0" xfId="48" quotePrefix="1" applyFont="1"/>
    <xf numFmtId="0" fontId="27" fillId="0" borderId="0" xfId="48" applyFont="1"/>
    <xf numFmtId="0" fontId="85" fillId="0" borderId="0" xfId="156"/>
    <xf numFmtId="0" fontId="26" fillId="31" borderId="10" xfId="48" applyFont="1" applyFill="1" applyBorder="1" applyAlignment="1" applyProtection="1">
      <alignment horizontal="left" vertical="top" wrapText="1"/>
    </xf>
    <xf numFmtId="0" fontId="26" fillId="31" borderId="11" xfId="48" applyFont="1" applyFill="1" applyBorder="1" applyAlignment="1" applyProtection="1">
      <alignment horizontal="left" vertical="top" wrapText="1"/>
    </xf>
    <xf numFmtId="0" fontId="26" fillId="31" borderId="12" xfId="48" applyFont="1" applyFill="1" applyBorder="1" applyAlignment="1" applyProtection="1">
      <alignment horizontal="left" vertical="top" wrapText="1"/>
    </xf>
    <xf numFmtId="0" fontId="26" fillId="29" borderId="10" xfId="48" applyFont="1" applyFill="1" applyBorder="1" applyAlignment="1" applyProtection="1">
      <alignment horizontal="left" vertical="top" wrapText="1"/>
    </xf>
    <xf numFmtId="0" fontId="26" fillId="29" borderId="11" xfId="48" applyFont="1" applyFill="1" applyBorder="1" applyAlignment="1" applyProtection="1">
      <alignment horizontal="left" vertical="top" wrapText="1"/>
    </xf>
    <xf numFmtId="0" fontId="26" fillId="29" borderId="12" xfId="48" applyFont="1" applyFill="1" applyBorder="1" applyAlignment="1" applyProtection="1">
      <alignment horizontal="left" vertical="top" wrapText="1"/>
    </xf>
    <xf numFmtId="0" fontId="26" fillId="27" borderId="20" xfId="48" applyFont="1" applyFill="1" applyBorder="1" applyAlignment="1" applyProtection="1">
      <alignment horizontal="left" vertical="top" wrapText="1"/>
    </xf>
    <xf numFmtId="0" fontId="26" fillId="29" borderId="20" xfId="48" applyFont="1" applyFill="1" applyBorder="1" applyAlignment="1" applyProtection="1">
      <alignment horizontal="left" vertical="top" wrapText="1"/>
    </xf>
    <xf numFmtId="0" fontId="32" fillId="0" borderId="0" xfId="159" applyFont="1" applyFill="1" applyAlignment="1">
      <alignment horizontal="left" indent="2"/>
    </xf>
    <xf numFmtId="3" fontId="32" fillId="0" borderId="0" xfId="159" applyNumberFormat="1" applyFont="1" applyFill="1"/>
    <xf numFmtId="0" fontId="27" fillId="0" borderId="0" xfId="159" applyFont="1" applyFill="1" applyAlignment="1">
      <alignment horizontal="left" indent="4"/>
    </xf>
    <xf numFmtId="3" fontId="27" fillId="0" borderId="0" xfId="0" applyNumberFormat="1" applyFont="1" applyFill="1" applyAlignment="1"/>
    <xf numFmtId="3" fontId="27" fillId="0" borderId="0" xfId="159" applyNumberFormat="1" applyFont="1" applyFill="1"/>
    <xf numFmtId="0" fontId="27" fillId="0" borderId="0" xfId="159" applyFont="1" applyFill="1" applyAlignment="1">
      <alignment horizontal="left" wrapText="1" indent="4"/>
    </xf>
    <xf numFmtId="0" fontId="4" fillId="0" borderId="0" xfId="159" applyFont="1" applyFill="1"/>
    <xf numFmtId="3" fontId="4" fillId="0" borderId="0" xfId="159" applyNumberFormat="1" applyFont="1" applyFill="1"/>
    <xf numFmtId="0" fontId="27" fillId="0" borderId="0" xfId="159" applyFont="1" applyFill="1" applyAlignment="1">
      <alignment horizontal="left" wrapText="1" indent="6"/>
    </xf>
    <xf numFmtId="0" fontId="27" fillId="0" borderId="0" xfId="39" applyNumberFormat="1" applyFont="1" applyFill="1" applyBorder="1" applyAlignment="1" applyProtection="1">
      <alignment horizontal="left" wrapText="1" indent="6"/>
    </xf>
    <xf numFmtId="0" fontId="26" fillId="0" borderId="0" xfId="159" applyFont="1" applyFill="1" applyAlignment="1">
      <alignment horizontal="left" indent="1"/>
    </xf>
    <xf numFmtId="3" fontId="33" fillId="0" borderId="0" xfId="159" applyNumberFormat="1" applyFont="1" applyFill="1"/>
    <xf numFmtId="0" fontId="32" fillId="0" borderId="0" xfId="159" applyFont="1" applyFill="1" applyBorder="1" applyAlignment="1">
      <alignment horizontal="left"/>
    </xf>
    <xf numFmtId="3" fontId="26" fillId="0" borderId="0" xfId="159" applyNumberFormat="1" applyFont="1" applyFill="1" applyBorder="1"/>
    <xf numFmtId="0" fontId="27" fillId="0" borderId="0" xfId="159" applyFont="1" applyFill="1" applyBorder="1" applyAlignment="1">
      <alignment horizontal="left" indent="4"/>
    </xf>
    <xf numFmtId="0" fontId="34" fillId="0" borderId="24" xfId="159" applyFont="1" applyFill="1" applyBorder="1" applyAlignment="1">
      <alignment horizontal="left" indent="1"/>
    </xf>
    <xf numFmtId="3" fontId="34" fillId="0" borderId="24" xfId="0" applyNumberFormat="1" applyFont="1" applyFill="1" applyBorder="1" applyAlignment="1"/>
    <xf numFmtId="3" fontId="34" fillId="0" borderId="24" xfId="159" applyNumberFormat="1" applyFont="1" applyFill="1" applyBorder="1"/>
    <xf numFmtId="0" fontId="34" fillId="0" borderId="0" xfId="159" applyFont="1" applyFill="1" applyBorder="1" applyAlignment="1">
      <alignment horizontal="left" indent="1"/>
    </xf>
    <xf numFmtId="3" fontId="34" fillId="0" borderId="0" xfId="0" applyNumberFormat="1" applyFont="1" applyFill="1" applyBorder="1" applyAlignment="1"/>
    <xf numFmtId="3" fontId="34" fillId="0" borderId="0" xfId="159" applyNumberFormat="1" applyFont="1" applyFill="1" applyBorder="1"/>
    <xf numFmtId="0" fontId="26" fillId="0" borderId="0" xfId="159" applyFont="1" applyFill="1" applyBorder="1" applyAlignment="1">
      <alignment horizontal="left" indent="1"/>
    </xf>
    <xf numFmtId="0" fontId="26" fillId="0" borderId="0" xfId="159" applyFont="1" applyFill="1" applyBorder="1" applyAlignment="1">
      <alignment horizontal="left" indent="2"/>
    </xf>
    <xf numFmtId="0" fontId="35" fillId="0" borderId="0" xfId="159" applyFont="1" applyFill="1" applyAlignment="1">
      <alignment horizontal="left" indent="6"/>
    </xf>
    <xf numFmtId="0" fontId="27" fillId="0" borderId="0" xfId="159" applyFont="1" applyAlignment="1">
      <alignment horizontal="left" indent="7"/>
    </xf>
    <xf numFmtId="0" fontId="32" fillId="0" borderId="0" xfId="159" applyFont="1" applyFill="1" applyAlignment="1">
      <alignment horizontal="left" indent="4"/>
    </xf>
    <xf numFmtId="0" fontId="27" fillId="0" borderId="0" xfId="159" applyFont="1" applyFill="1" applyAlignment="1">
      <alignment horizontal="left" indent="7"/>
    </xf>
    <xf numFmtId="0" fontId="36" fillId="0" borderId="0" xfId="159" applyFont="1" applyFill="1" applyAlignment="1">
      <alignment horizontal="left" indent="13"/>
    </xf>
    <xf numFmtId="3" fontId="36" fillId="0" borderId="0" xfId="0" applyNumberFormat="1" applyFont="1" applyFill="1" applyAlignment="1"/>
    <xf numFmtId="3" fontId="36" fillId="0" borderId="0" xfId="159" applyNumberFormat="1" applyFont="1" applyFill="1"/>
    <xf numFmtId="3" fontId="27" fillId="0" borderId="0" xfId="159" applyNumberFormat="1" applyFont="1" applyFill="1" applyAlignment="1"/>
    <xf numFmtId="3" fontId="32" fillId="0" borderId="0" xfId="0" applyNumberFormat="1" applyFont="1" applyFill="1" applyAlignment="1"/>
    <xf numFmtId="0" fontId="0" fillId="0" borderId="0" xfId="0" applyAlignment="1"/>
    <xf numFmtId="0" fontId="4" fillId="0" borderId="0" xfId="159"/>
    <xf numFmtId="0" fontId="35" fillId="0" borderId="0" xfId="159" applyFont="1" applyFill="1" applyAlignment="1">
      <alignment horizontal="left"/>
    </xf>
    <xf numFmtId="0" fontId="32" fillId="0" borderId="0" xfId="159" applyFont="1" applyFill="1" applyAlignment="1">
      <alignment horizontal="left" indent="1"/>
    </xf>
    <xf numFmtId="3" fontId="26" fillId="0" borderId="0" xfId="159" applyNumberFormat="1" applyFont="1" applyFill="1"/>
    <xf numFmtId="0" fontId="4" fillId="0" borderId="0" xfId="159" applyFont="1"/>
    <xf numFmtId="3" fontId="26" fillId="0" borderId="0" xfId="0" applyNumberFormat="1" applyFont="1" applyFill="1"/>
    <xf numFmtId="0" fontId="4" fillId="0" borderId="0" xfId="160" applyFont="1" applyFill="1"/>
    <xf numFmtId="3" fontId="4" fillId="0" borderId="0" xfId="160" applyNumberFormat="1" applyFont="1" applyFill="1"/>
    <xf numFmtId="3" fontId="4" fillId="0" borderId="0" xfId="160" applyNumberFormat="1" applyFont="1"/>
    <xf numFmtId="3" fontId="26" fillId="0" borderId="0" xfId="0" applyNumberFormat="1" applyFont="1"/>
    <xf numFmtId="3" fontId="0" fillId="0" borderId="0" xfId="0" applyNumberFormat="1"/>
    <xf numFmtId="0" fontId="44" fillId="0" borderId="20" xfId="0" applyFont="1" applyFill="1" applyBorder="1" applyAlignment="1" applyProtection="1">
      <alignment horizontal="left" vertical="top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3" fontId="4" fillId="0" borderId="0" xfId="42" applyNumberFormat="1" applyFont="1" applyFill="1" applyBorder="1" applyAlignment="1">
      <alignment horizontal="right" vertical="top" wrapText="1"/>
    </xf>
    <xf numFmtId="3" fontId="42" fillId="0" borderId="0" xfId="40" applyNumberFormat="1" applyFont="1" applyFill="1" applyBorder="1" applyAlignment="1" applyProtection="1">
      <alignment horizontal="right" vertical="top" wrapText="1"/>
    </xf>
    <xf numFmtId="3" fontId="4" fillId="0" borderId="0" xfId="48" applyNumberFormat="1" applyFont="1" applyFill="1" applyAlignment="1">
      <alignment horizontal="right" vertical="top" wrapText="1"/>
    </xf>
    <xf numFmtId="3" fontId="26" fillId="0" borderId="0" xfId="48" applyNumberFormat="1" applyFont="1" applyFill="1" applyAlignment="1">
      <alignment horizontal="right" wrapText="1"/>
    </xf>
    <xf numFmtId="3" fontId="31" fillId="0" borderId="0" xfId="40" applyNumberFormat="1" applyFont="1" applyFill="1" applyBorder="1" applyAlignment="1" applyProtection="1">
      <alignment horizontal="right" vertical="top"/>
    </xf>
    <xf numFmtId="3" fontId="26" fillId="0" borderId="0" xfId="48" applyNumberFormat="1" applyFont="1" applyFill="1" applyAlignment="1">
      <alignment horizontal="right" vertical="top" wrapText="1"/>
    </xf>
    <xf numFmtId="3" fontId="24" fillId="0" borderId="0" xfId="40" applyNumberFormat="1" applyFont="1" applyFill="1" applyBorder="1" applyAlignment="1" applyProtection="1">
      <alignment horizontal="right" vertical="top"/>
    </xf>
    <xf numFmtId="3" fontId="4" fillId="0" borderId="0" xfId="34" applyNumberFormat="1" applyFont="1" applyFill="1" applyBorder="1" applyAlignment="1" applyProtection="1">
      <alignment horizontal="right" vertical="top" wrapText="1"/>
    </xf>
    <xf numFmtId="3" fontId="36" fillId="0" borderId="0" xfId="40" applyNumberFormat="1" applyFont="1" applyFill="1" applyBorder="1" applyAlignment="1" applyProtection="1">
      <alignment horizontal="right" vertical="top" wrapText="1"/>
    </xf>
    <xf numFmtId="3" fontId="24" fillId="0" borderId="0" xfId="40" applyNumberFormat="1" applyFont="1" applyFill="1" applyAlignment="1">
      <alignment horizontal="right" vertical="top" wrapText="1"/>
    </xf>
    <xf numFmtId="3" fontId="31" fillId="0" borderId="0" xfId="48" applyNumberFormat="1" applyFont="1" applyFill="1" applyAlignment="1">
      <alignment horizontal="right" vertical="top" wrapText="1"/>
    </xf>
    <xf numFmtId="0" fontId="35" fillId="0" borderId="0" xfId="40" applyNumberFormat="1" applyFont="1" applyFill="1" applyBorder="1" applyAlignment="1" applyProtection="1">
      <alignment vertical="top"/>
    </xf>
    <xf numFmtId="164" fontId="4" fillId="0" borderId="0" xfId="48" applyNumberFormat="1" applyFont="1" applyFill="1" applyAlignment="1">
      <alignment vertical="top"/>
    </xf>
    <xf numFmtId="3" fontId="27" fillId="0" borderId="0" xfId="51" applyNumberFormat="1" applyFont="1" applyFill="1" applyAlignment="1">
      <alignment horizontal="right" vertical="top"/>
    </xf>
    <xf numFmtId="3" fontId="4" fillId="0" borderId="0" xfId="51" applyNumberFormat="1" applyFont="1" applyFill="1" applyAlignment="1">
      <alignment horizontal="right" vertical="top"/>
    </xf>
    <xf numFmtId="3" fontId="4" fillId="0" borderId="0" xfId="51" applyNumberFormat="1" applyFont="1" applyFill="1" applyBorder="1" applyAlignment="1">
      <alignment horizontal="right" vertical="top"/>
    </xf>
    <xf numFmtId="3" fontId="42" fillId="0" borderId="0" xfId="51" applyNumberFormat="1" applyFont="1" applyFill="1" applyAlignment="1">
      <alignment horizontal="right" vertical="top"/>
    </xf>
    <xf numFmtId="3" fontId="26" fillId="0" borderId="0" xfId="51" applyNumberFormat="1" applyFont="1" applyFill="1" applyAlignment="1">
      <alignment horizontal="right" vertical="top"/>
    </xf>
    <xf numFmtId="3" fontId="86" fillId="0" borderId="0" xfId="51" applyNumberFormat="1" applyFont="1" applyFill="1" applyAlignment="1">
      <alignment horizontal="right" vertical="top"/>
    </xf>
    <xf numFmtId="3" fontId="26" fillId="0" borderId="0" xfId="48" applyNumberFormat="1" applyFont="1" applyFill="1" applyAlignment="1">
      <alignment vertical="top"/>
    </xf>
    <xf numFmtId="3" fontId="71" fillId="0" borderId="0" xfId="51" applyNumberFormat="1" applyFont="1" applyFill="1" applyBorder="1" applyAlignment="1" applyProtection="1">
      <alignment horizontal="right" vertical="top"/>
    </xf>
    <xf numFmtId="3" fontId="87" fillId="0" borderId="0" xfId="51" applyNumberFormat="1" applyFont="1" applyFill="1"/>
    <xf numFmtId="3" fontId="87" fillId="0" borderId="0" xfId="51" applyNumberFormat="1" applyFont="1" applyFill="1" applyAlignment="1">
      <alignment horizontal="right" vertical="top"/>
    </xf>
    <xf numFmtId="3" fontId="86" fillId="0" borderId="0" xfId="51" applyNumberFormat="1" applyFont="1" applyFill="1"/>
    <xf numFmtId="3" fontId="71" fillId="0" borderId="0" xfId="51" applyNumberFormat="1" applyFont="1" applyFill="1" applyAlignment="1">
      <alignment horizontal="right" vertical="top" wrapText="1"/>
    </xf>
    <xf numFmtId="3" fontId="88" fillId="0" borderId="0" xfId="51" applyNumberFormat="1" applyFont="1" applyFill="1" applyBorder="1" applyAlignment="1">
      <alignment horizontal="right" vertical="top"/>
    </xf>
    <xf numFmtId="3" fontId="89" fillId="0" borderId="0" xfId="51" applyNumberFormat="1" applyFont="1" applyFill="1" applyBorder="1" applyAlignment="1">
      <alignment horizontal="right" vertical="top"/>
    </xf>
    <xf numFmtId="3" fontId="4" fillId="0" borderId="0" xfId="51" applyNumberFormat="1" applyFont="1" applyFill="1"/>
    <xf numFmtId="3" fontId="31" fillId="0" borderId="0" xfId="51" applyNumberFormat="1" applyFont="1" applyFill="1" applyBorder="1" applyAlignment="1">
      <alignment horizontal="right" vertical="top"/>
    </xf>
    <xf numFmtId="3" fontId="24" fillId="0" borderId="0" xfId="51" applyNumberFormat="1" applyFont="1" applyFill="1" applyAlignment="1">
      <alignment horizontal="right" vertical="top"/>
    </xf>
    <xf numFmtId="3" fontId="36" fillId="0" borderId="0" xfId="48" applyNumberFormat="1" applyFont="1" applyFill="1" applyAlignment="1">
      <alignment horizontal="left" vertical="top" wrapText="1"/>
    </xf>
    <xf numFmtId="3" fontId="36" fillId="0" borderId="0" xfId="48" applyNumberFormat="1" applyFont="1" applyFill="1" applyAlignment="1">
      <alignment horizontal="left" vertical="top"/>
    </xf>
    <xf numFmtId="3" fontId="90" fillId="0" borderId="0" xfId="0" applyNumberFormat="1" applyFont="1" applyFill="1" applyAlignment="1">
      <alignment horizontal="right" vertical="top"/>
    </xf>
    <xf numFmtId="0" fontId="90" fillId="0" borderId="0" xfId="0" applyFont="1" applyFill="1"/>
    <xf numFmtId="3" fontId="90" fillId="0" borderId="0" xfId="0" applyNumberFormat="1" applyFont="1" applyFill="1" applyAlignment="1">
      <alignment vertical="top"/>
    </xf>
    <xf numFmtId="3" fontId="24" fillId="0" borderId="0" xfId="0" applyNumberFormat="1" applyFont="1" applyFill="1" applyAlignment="1">
      <alignment horizontal="right" vertical="top"/>
    </xf>
    <xf numFmtId="0" fontId="24" fillId="0" borderId="0" xfId="0" applyFont="1" applyFill="1"/>
    <xf numFmtId="3" fontId="24" fillId="0" borderId="0" xfId="0" applyNumberFormat="1" applyFont="1" applyFill="1" applyAlignment="1">
      <alignment vertical="top"/>
    </xf>
    <xf numFmtId="3" fontId="36" fillId="0" borderId="0" xfId="40" applyNumberFormat="1" applyFont="1" applyFill="1" applyBorder="1" applyAlignment="1">
      <alignment horizontal="right" vertical="top"/>
    </xf>
    <xf numFmtId="0" fontId="4" fillId="0" borderId="0" xfId="48" applyFill="1" applyAlignment="1">
      <alignment vertical="top"/>
    </xf>
    <xf numFmtId="0" fontId="42" fillId="0" borderId="0" xfId="48" applyFont="1" applyFill="1" applyBorder="1" applyAlignment="1">
      <alignment vertical="top"/>
    </xf>
    <xf numFmtId="0" fontId="36" fillId="0" borderId="0" xfId="40" applyFont="1" applyFill="1" applyBorder="1" applyAlignment="1" applyProtection="1">
      <alignment horizontal="right" vertical="top"/>
    </xf>
    <xf numFmtId="0" fontId="42" fillId="0" borderId="0" xfId="48" applyFont="1" applyFill="1" applyAlignment="1">
      <alignment vertical="top"/>
    </xf>
    <xf numFmtId="3" fontId="42" fillId="0" borderId="0" xfId="48" applyNumberFormat="1" applyFont="1" applyFill="1" applyBorder="1"/>
    <xf numFmtId="3" fontId="3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44" fillId="0" borderId="0" xfId="0" applyNumberFormat="1" applyFont="1" applyFill="1" applyBorder="1" applyAlignment="1" applyProtection="1">
      <alignment horizontal="right" vertical="top" wrapText="1"/>
      <protection locked="0"/>
    </xf>
    <xf numFmtId="0" fontId="91" fillId="0" borderId="0" xfId="0" applyFont="1" applyFill="1" applyAlignment="1">
      <alignment wrapText="1"/>
    </xf>
    <xf numFmtId="3" fontId="91" fillId="0" borderId="0" xfId="0" applyNumberFormat="1" applyFont="1" applyFill="1" applyAlignment="1">
      <alignment horizontal="right" wrapText="1"/>
    </xf>
    <xf numFmtId="0" fontId="44" fillId="0" borderId="0" xfId="55" applyFont="1" applyFill="1" applyBorder="1" applyAlignment="1"/>
    <xf numFmtId="3" fontId="44" fillId="0" borderId="0" xfId="55" applyNumberFormat="1" applyFont="1" applyFill="1" applyBorder="1" applyAlignment="1">
      <alignment horizontal="right"/>
    </xf>
    <xf numFmtId="3" fontId="44" fillId="0" borderId="0" xfId="0" applyNumberFormat="1" applyFont="1" applyBorder="1" applyAlignment="1">
      <alignment horizontal="right" wrapText="1"/>
    </xf>
    <xf numFmtId="3" fontId="44" fillId="0" borderId="0" xfId="0" applyNumberFormat="1" applyFont="1" applyAlignment="1">
      <alignment horizontal="right" vertical="center"/>
    </xf>
    <xf numFmtId="0" fontId="37" fillId="0" borderId="0" xfId="48" applyFont="1" applyFill="1" applyBorder="1" applyAlignment="1">
      <alignment horizontal="left" vertical="top"/>
    </xf>
    <xf numFmtId="3" fontId="37" fillId="0" borderId="0" xfId="48" applyNumberFormat="1" applyFont="1" applyFill="1" applyBorder="1" applyAlignment="1">
      <alignment vertical="top"/>
    </xf>
    <xf numFmtId="0" fontId="38" fillId="0" borderId="0" xfId="48" applyFont="1" applyFill="1" applyBorder="1" applyAlignment="1">
      <alignment horizontal="left" vertical="top"/>
    </xf>
    <xf numFmtId="3" fontId="38" fillId="0" borderId="0" xfId="48" applyNumberFormat="1" applyFont="1" applyFill="1" applyBorder="1" applyAlignment="1">
      <alignment vertical="top"/>
    </xf>
    <xf numFmtId="0" fontId="39" fillId="0" borderId="0" xfId="48" applyFont="1" applyFill="1" applyBorder="1" applyAlignment="1">
      <alignment horizontal="left" vertical="top" indent="3"/>
    </xf>
    <xf numFmtId="3" fontId="39" fillId="0" borderId="0" xfId="48" applyNumberFormat="1" applyFont="1" applyFill="1" applyBorder="1" applyAlignment="1">
      <alignment vertical="top"/>
    </xf>
    <xf numFmtId="0" fontId="39" fillId="0" borderId="0" xfId="48" applyFont="1" applyFill="1" applyBorder="1" applyAlignment="1">
      <alignment horizontal="left" vertical="top" wrapText="1" indent="3"/>
    </xf>
    <xf numFmtId="3" fontId="39" fillId="0" borderId="0" xfId="48" applyNumberFormat="1" applyFont="1" applyFill="1" applyBorder="1" applyAlignment="1">
      <alignment vertical="top" wrapText="1"/>
    </xf>
    <xf numFmtId="0" fontId="51" fillId="0" borderId="0" xfId="48" applyFont="1" applyFill="1" applyBorder="1" applyAlignment="1">
      <alignment horizontal="left" vertical="top"/>
    </xf>
    <xf numFmtId="3" fontId="51" fillId="0" borderId="0" xfId="48" applyNumberFormat="1" applyFont="1" applyFill="1" applyBorder="1" applyAlignment="1">
      <alignment vertical="top"/>
    </xf>
    <xf numFmtId="0" fontId="39" fillId="0" borderId="0" xfId="48" applyFont="1" applyFill="1" applyAlignment="1">
      <alignment horizontal="left" vertical="top" indent="3"/>
    </xf>
    <xf numFmtId="3" fontId="39" fillId="0" borderId="0" xfId="48" applyNumberFormat="1" applyFont="1" applyFill="1" applyAlignment="1">
      <alignment vertical="top"/>
    </xf>
    <xf numFmtId="3" fontId="38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 wrapText="1"/>
    </xf>
    <xf numFmtId="0" fontId="39" fillId="0" borderId="0" xfId="48" applyFont="1" applyFill="1" applyAlignment="1">
      <alignment horizontal="left" indent="3"/>
    </xf>
    <xf numFmtId="3" fontId="39" fillId="0" borderId="0" xfId="0" applyNumberFormat="1" applyFont="1" applyFill="1" applyAlignment="1">
      <alignment horizontal="right"/>
    </xf>
    <xf numFmtId="0" fontId="39" fillId="0" borderId="0" xfId="48" applyFont="1" applyFill="1" applyAlignment="1">
      <alignment horizontal="left" vertical="center" indent="3"/>
    </xf>
    <xf numFmtId="3" fontId="39" fillId="0" borderId="0" xfId="0" applyNumberFormat="1" applyFont="1" applyFill="1" applyAlignment="1">
      <alignment horizontal="right" vertical="center"/>
    </xf>
    <xf numFmtId="3" fontId="39" fillId="0" borderId="0" xfId="0" applyNumberFormat="1" applyFont="1" applyFill="1" applyBorder="1" applyAlignment="1">
      <alignment horizontal="right" vertical="top"/>
    </xf>
    <xf numFmtId="0" fontId="38" fillId="0" borderId="0" xfId="48" applyFont="1" applyFill="1" applyBorder="1" applyAlignment="1">
      <alignment horizontal="left" vertical="top" wrapText="1"/>
    </xf>
    <xf numFmtId="3" fontId="38" fillId="0" borderId="0" xfId="48" applyNumberFormat="1" applyFont="1" applyFill="1" applyBorder="1" applyAlignment="1">
      <alignment vertical="top" wrapText="1"/>
    </xf>
    <xf numFmtId="3" fontId="38" fillId="0" borderId="0" xfId="0" applyNumberFormat="1" applyFont="1" applyFill="1" applyBorder="1" applyAlignment="1">
      <alignment horizontal="right" vertical="top" wrapText="1"/>
    </xf>
    <xf numFmtId="0" fontId="38" fillId="0" borderId="0" xfId="48" applyFont="1" applyFill="1"/>
    <xf numFmtId="3" fontId="38" fillId="0" borderId="0" xfId="48" applyNumberFormat="1" applyFont="1" applyFill="1" applyAlignment="1">
      <alignment vertical="top"/>
    </xf>
    <xf numFmtId="3" fontId="38" fillId="0" borderId="0" xfId="0" applyNumberFormat="1" applyFont="1" applyFill="1" applyAlignment="1">
      <alignment horizontal="right"/>
    </xf>
    <xf numFmtId="0" fontId="38" fillId="0" borderId="0" xfId="48" applyFont="1" applyFill="1" applyAlignment="1">
      <alignment horizontal="left"/>
    </xf>
    <xf numFmtId="2" fontId="38" fillId="0" borderId="0" xfId="48" applyNumberFormat="1" applyFont="1" applyFill="1" applyBorder="1" applyAlignment="1">
      <alignment horizontal="left" vertical="top"/>
    </xf>
    <xf numFmtId="3" fontId="38" fillId="0" borderId="0" xfId="0" applyNumberFormat="1" applyFont="1" applyFill="1"/>
    <xf numFmtId="0" fontId="50" fillId="0" borderId="0" xfId="48" applyFont="1" applyFill="1" applyBorder="1" applyAlignment="1">
      <alignment horizontal="left" vertical="top" indent="3"/>
    </xf>
    <xf numFmtId="3" fontId="50" fillId="0" borderId="0" xfId="48" applyNumberFormat="1" applyFont="1" applyFill="1" applyBorder="1" applyAlignment="1">
      <alignment vertical="top"/>
    </xf>
    <xf numFmtId="0" fontId="38" fillId="0" borderId="0" xfId="48" applyFont="1" applyFill="1" applyAlignment="1">
      <alignment horizontal="left" vertical="top"/>
    </xf>
    <xf numFmtId="3" fontId="4" fillId="0" borderId="0" xfId="48" applyNumberFormat="1" applyFont="1" applyFill="1" applyBorder="1" applyAlignment="1">
      <alignment vertical="top" wrapText="1"/>
    </xf>
    <xf numFmtId="3" fontId="38" fillId="0" borderId="0" xfId="0" applyNumberFormat="1" applyFont="1" applyFill="1" applyAlignment="1">
      <alignment horizontal="right" vertical="top"/>
    </xf>
    <xf numFmtId="0" fontId="51" fillId="0" borderId="0" xfId="48" applyFont="1" applyFill="1" applyBorder="1" applyAlignment="1">
      <alignment horizontal="left" vertical="top" wrapText="1"/>
    </xf>
    <xf numFmtId="3" fontId="51" fillId="0" borderId="0" xfId="48" applyNumberFormat="1" applyFont="1" applyFill="1" applyBorder="1" applyAlignment="1">
      <alignment vertical="top" wrapText="1"/>
    </xf>
    <xf numFmtId="2" fontId="39" fillId="0" borderId="0" xfId="48" applyNumberFormat="1" applyFont="1" applyFill="1" applyBorder="1" applyAlignment="1">
      <alignment horizontal="left" vertical="top" wrapText="1" indent="3"/>
    </xf>
    <xf numFmtId="16" fontId="38" fillId="0" borderId="0" xfId="48" applyNumberFormat="1" applyFont="1" applyFill="1" applyBorder="1" applyAlignment="1">
      <alignment horizontal="left" vertical="top"/>
    </xf>
    <xf numFmtId="0" fontId="43" fillId="0" borderId="0" xfId="48" applyFont="1" applyFill="1" applyBorder="1" applyAlignment="1">
      <alignment horizontal="right"/>
    </xf>
    <xf numFmtId="3" fontId="43" fillId="0" borderId="0" xfId="48" applyNumberFormat="1" applyFont="1" applyFill="1" applyBorder="1" applyAlignment="1">
      <alignment vertical="top"/>
    </xf>
    <xf numFmtId="3" fontId="37" fillId="0" borderId="0" xfId="0" applyNumberFormat="1" applyFont="1" applyFill="1" applyBorder="1" applyAlignment="1"/>
    <xf numFmtId="3" fontId="39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44" fontId="73" fillId="0" borderId="19" xfId="92" applyFont="1" applyFill="1" applyBorder="1" applyAlignment="1">
      <alignment vertical="top" wrapText="1"/>
    </xf>
  </cellXfs>
  <cellStyles count="161">
    <cellStyle name="20% - Accent1" xfId="1" builtinId="30" customBuiltin="1"/>
    <cellStyle name="20% - Accent1 2" xfId="57"/>
    <cellStyle name="20% - Accent2" xfId="2" builtinId="34" customBuiltin="1"/>
    <cellStyle name="20% - Accent2 2" xfId="58"/>
    <cellStyle name="20% - Accent3" xfId="3" builtinId="38" customBuiltin="1"/>
    <cellStyle name="20% - Accent3 2" xfId="59"/>
    <cellStyle name="20% - Accent4" xfId="4" builtinId="42" customBuiltin="1"/>
    <cellStyle name="20% - Accent4 2" xfId="60"/>
    <cellStyle name="20% - Accent5" xfId="5" builtinId="46" customBuiltin="1"/>
    <cellStyle name="20% - Accent5 2" xfId="61"/>
    <cellStyle name="20% - Accent6" xfId="6" builtinId="50" customBuiltin="1"/>
    <cellStyle name="20% - Accent6 2" xfId="62"/>
    <cellStyle name="40% - Accent1" xfId="7" builtinId="31" customBuiltin="1"/>
    <cellStyle name="40% - Accent1 2" xfId="63"/>
    <cellStyle name="40% - Accent2" xfId="8" builtinId="35" customBuiltin="1"/>
    <cellStyle name="40% - Accent2 2" xfId="64"/>
    <cellStyle name="40% - Accent3" xfId="9" builtinId="39" customBuiltin="1"/>
    <cellStyle name="40% - Accent3 2" xfId="65"/>
    <cellStyle name="40% - Accent4" xfId="10" builtinId="43" customBuiltin="1"/>
    <cellStyle name="40% - Accent4 2" xfId="66"/>
    <cellStyle name="40% - Accent5" xfId="11" builtinId="47" customBuiltin="1"/>
    <cellStyle name="40% - Accent5 2" xfId="67"/>
    <cellStyle name="40% - Accent6" xfId="12" builtinId="51" customBuiltin="1"/>
    <cellStyle name="40% - Accent6 2" xfId="68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84"/>
    <cellStyle name="Comma 2 2" xfId="85"/>
    <cellStyle name="Comma 2 3" xfId="86"/>
    <cellStyle name="Comma 2 4" xfId="87"/>
    <cellStyle name="Comma 2 5" xfId="88"/>
    <cellStyle name="Comma 2 6" xfId="89"/>
    <cellStyle name="Comma 3" xfId="90"/>
    <cellStyle name="Comma 4" xfId="91"/>
    <cellStyle name="Currency 2" xfId="92"/>
    <cellStyle name="Explanatory Text" xfId="28" builtinId="53" customBuiltin="1"/>
    <cellStyle name="Explanatory Text 2" xfId="93"/>
    <cellStyle name="Good" xfId="29" builtinId="26" customBuiltin="1"/>
    <cellStyle name="Good 2" xfId="94"/>
    <cellStyle name="Hea" xfId="49"/>
    <cellStyle name="Hea 2" xfId="95"/>
    <cellStyle name="Heading 1" xfId="30" builtinId="16" customBuiltin="1"/>
    <cellStyle name="Heading 1 2" xfId="96"/>
    <cellStyle name="Heading 2" xfId="31" builtinId="17" customBuiltin="1"/>
    <cellStyle name="Heading 2 2" xfId="97"/>
    <cellStyle name="Heading 3" xfId="32" builtinId="18" customBuiltin="1"/>
    <cellStyle name="Heading 3 2" xfId="98"/>
    <cellStyle name="Heading 4" xfId="33" builtinId="19" customBuiltin="1"/>
    <cellStyle name="Heading 4 2" xfId="99"/>
    <cellStyle name="Hyperlink" xfId="156" builtinId="8"/>
    <cellStyle name="Hyperlink 2" xfId="50"/>
    <cellStyle name="Hyperlink 2 2" xfId="100"/>
    <cellStyle name="Hyperlink_Lisad 22.02.11 II" xfId="34"/>
    <cellStyle name="Input" xfId="35" builtinId="20" customBuiltin="1"/>
    <cellStyle name="Input 2" xfId="101"/>
    <cellStyle name="Linked Cell" xfId="36" builtinId="24" customBuiltin="1"/>
    <cellStyle name="Linked Cell 2" xfId="102"/>
    <cellStyle name="Neutral" xfId="37" builtinId="28" customBuiltin="1"/>
    <cellStyle name="Neutral 2" xfId="103"/>
    <cellStyle name="Normaallaad 2" xfId="153"/>
    <cellStyle name="Normaallaad 3" xfId="157"/>
    <cellStyle name="Normaallaad_Leht1" xfId="38"/>
    <cellStyle name="Normal" xfId="0" builtinId="0"/>
    <cellStyle name="Normal 10" xfId="151"/>
    <cellStyle name="Normal 11" xfId="152"/>
    <cellStyle name="Normal 12" xfId="158"/>
    <cellStyle name="Normal 13" xfId="160"/>
    <cellStyle name="Normal 13 2" xfId="159"/>
    <cellStyle name="Normal 2" xfId="48"/>
    <cellStyle name="Normal 2 2" xfId="54"/>
    <cellStyle name="Normal 2 3" xfId="104"/>
    <cellStyle name="Normal 2 3 2" xfId="105"/>
    <cellStyle name="Normal 2 4" xfId="106"/>
    <cellStyle name="Normal 2 4 2" xfId="107"/>
    <cellStyle name="Normal 2 5" xfId="108"/>
    <cellStyle name="Normal 2 6" xfId="109"/>
    <cellStyle name="Normal 3" xfId="55"/>
    <cellStyle name="Normal 3 10" xfId="110"/>
    <cellStyle name="Normal 3 10 2" xfId="111"/>
    <cellStyle name="Normal 3 11" xfId="112"/>
    <cellStyle name="Normal 3 11 2" xfId="113"/>
    <cellStyle name="Normal 3 12" xfId="114"/>
    <cellStyle name="Normal 3 13" xfId="115"/>
    <cellStyle name="Normal 3 2" xfId="116"/>
    <cellStyle name="Normal 3 2 2" xfId="117"/>
    <cellStyle name="Normal 3 2 3" xfId="118"/>
    <cellStyle name="Normal 3 3" xfId="119"/>
    <cellStyle name="Normal 3 3 2" xfId="120"/>
    <cellStyle name="Normal 3 4" xfId="121"/>
    <cellStyle name="Normal 3 4 2" xfId="122"/>
    <cellStyle name="Normal 3 5" xfId="123"/>
    <cellStyle name="Normal 3 5 2" xfId="124"/>
    <cellStyle name="Normal 3 6" xfId="125"/>
    <cellStyle name="Normal 3 7" xfId="126"/>
    <cellStyle name="Normal 3 8" xfId="127"/>
    <cellStyle name="Normal 3 8 2" xfId="128"/>
    <cellStyle name="Normal 3 9" xfId="129"/>
    <cellStyle name="Normal 3 9 2" xfId="130"/>
    <cellStyle name="Normal 4" xfId="131"/>
    <cellStyle name="Normal 4 2" xfId="132"/>
    <cellStyle name="Normal 5" xfId="133"/>
    <cellStyle name="Normal 5 2" xfId="134"/>
    <cellStyle name="Normal 5 2 2" xfId="135"/>
    <cellStyle name="Normal 5 3" xfId="136"/>
    <cellStyle name="Normal 6" xfId="137"/>
    <cellStyle name="Normal 7" xfId="138"/>
    <cellStyle name="Normal 7 2" xfId="139"/>
    <cellStyle name="Normal 8" xfId="140"/>
    <cellStyle name="Normal 9" xfId="141"/>
    <cellStyle name="Normal_2002 määrus lisa 5" xfId="39"/>
    <cellStyle name="Normal_2002 määrus lisa 5 2" xfId="155"/>
    <cellStyle name="Normal_2002 määrus lisa 5 4" xfId="154"/>
    <cellStyle name="Normal_2002 määrus lisa 5_Lisad 22.02.11 II" xfId="40"/>
    <cellStyle name="Normal_vorm 1 koond" xfId="41"/>
    <cellStyle name="Normal_vorm 1 koond_Lisad 22.02.11 II" xfId="42"/>
    <cellStyle name="Note" xfId="43" builtinId="10" customBuiltin="1"/>
    <cellStyle name="Note 2" xfId="142"/>
    <cellStyle name="Note 3" xfId="150"/>
    <cellStyle name="Note 4" xfId="56"/>
    <cellStyle name="Output" xfId="44" builtinId="21" customBuiltin="1"/>
    <cellStyle name="Output 2" xfId="143"/>
    <cellStyle name="Percent 2" xfId="51"/>
    <cellStyle name="Percent 3" xfId="144"/>
    <cellStyle name="Rõhk5" xfId="52"/>
    <cellStyle name="Rõhk5 2" xfId="145"/>
    <cellStyle name="Rõhk6" xfId="53"/>
    <cellStyle name="Rõhk6 2" xfId="146"/>
    <cellStyle name="Title" xfId="45" builtinId="15" customBuiltin="1"/>
    <cellStyle name="Title 2" xfId="147"/>
    <cellStyle name="Total" xfId="46" builtinId="25" customBuiltin="1"/>
    <cellStyle name="Total 2" xfId="148"/>
    <cellStyle name="Warning Text" xfId="47" builtinId="11" customBuiltin="1"/>
    <cellStyle name="Warning Text 2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6/T&#228;psustatud%20eelarve/T&#228;psustatud%20eelarve%202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KOONDEELARVE"/>
      <sheetName val="2 TULUDE KOOND"/>
      <sheetName val="2.1 LK TULUD"/>
      <sheetName val="Sheet2"/>
      <sheetName val="2.2 OMATULUD"/>
      <sheetName val="2.3 TOETUSED"/>
      <sheetName val="3 KULUD"/>
      <sheetName val="4 INVEST"/>
      <sheetName val="5 FIN.TEH"/>
      <sheetName val="6 RAHAKÄIVE"/>
      <sheetName val="7 LIIGENDUS"/>
    </sheetNames>
    <sheetDataSet>
      <sheetData sheetId="0" refreshError="1">
        <row r="6">
          <cell r="B6">
            <v>354100000</v>
          </cell>
        </row>
        <row r="7">
          <cell r="B7">
            <v>11035000</v>
          </cell>
        </row>
        <row r="8">
          <cell r="B8">
            <v>559000</v>
          </cell>
        </row>
        <row r="9">
          <cell r="B9">
            <v>62485514</v>
          </cell>
        </row>
        <row r="10">
          <cell r="B10">
            <v>996000</v>
          </cell>
        </row>
        <row r="11">
          <cell r="B11">
            <v>50000</v>
          </cell>
        </row>
        <row r="12">
          <cell r="B12">
            <v>2927000</v>
          </cell>
        </row>
        <row r="14">
          <cell r="B14">
            <v>-10000</v>
          </cell>
        </row>
        <row r="15">
          <cell r="B15">
            <v>147150</v>
          </cell>
        </row>
        <row r="16">
          <cell r="B16">
            <v>8900000</v>
          </cell>
        </row>
        <row r="59">
          <cell r="B59">
            <v>20000000</v>
          </cell>
        </row>
        <row r="60">
          <cell r="B60">
            <v>7569265</v>
          </cell>
        </row>
        <row r="61">
          <cell r="B61">
            <v>1042360</v>
          </cell>
        </row>
      </sheetData>
      <sheetData sheetId="1" refreshError="1"/>
      <sheetData sheetId="2" refreshError="1">
        <row r="5">
          <cell r="B5">
            <v>326300000</v>
          </cell>
        </row>
        <row r="8">
          <cell r="B8">
            <v>27800000</v>
          </cell>
        </row>
        <row r="12">
          <cell r="B12">
            <v>3285000</v>
          </cell>
        </row>
        <row r="15">
          <cell r="B15">
            <v>900000</v>
          </cell>
        </row>
        <row r="18">
          <cell r="B18">
            <v>6850000</v>
          </cell>
        </row>
        <row r="21">
          <cell r="B21">
            <v>559000</v>
          </cell>
        </row>
        <row r="26">
          <cell r="B26">
            <v>631999</v>
          </cell>
        </row>
        <row r="34">
          <cell r="B34">
            <v>716000</v>
          </cell>
        </row>
        <row r="39">
          <cell r="B39">
            <v>100000</v>
          </cell>
        </row>
        <row r="49">
          <cell r="B49">
            <v>50000</v>
          </cell>
        </row>
        <row r="53">
          <cell r="B53">
            <v>2927000</v>
          </cell>
        </row>
        <row r="56">
          <cell r="B56">
            <v>-1498132</v>
          </cell>
        </row>
        <row r="57">
          <cell r="B57">
            <v>-10000</v>
          </cell>
        </row>
        <row r="60">
          <cell r="B60">
            <v>310000</v>
          </cell>
        </row>
        <row r="62">
          <cell r="B62">
            <v>67150</v>
          </cell>
        </row>
        <row r="66">
          <cell r="B66">
            <v>8900000</v>
          </cell>
        </row>
      </sheetData>
      <sheetData sheetId="3" refreshError="1">
        <row r="2">
          <cell r="B2">
            <v>47508162</v>
          </cell>
        </row>
        <row r="13">
          <cell r="B13">
            <v>180000</v>
          </cell>
          <cell r="C13">
            <v>0</v>
          </cell>
        </row>
        <row r="14">
          <cell r="B14">
            <v>3590136</v>
          </cell>
        </row>
        <row r="15">
          <cell r="B15">
            <v>2555237</v>
          </cell>
        </row>
        <row r="16">
          <cell r="B16">
            <v>8199980</v>
          </cell>
        </row>
        <row r="18">
          <cell r="B18">
            <v>-230000</v>
          </cell>
          <cell r="C18">
            <v>0</v>
          </cell>
        </row>
      </sheetData>
      <sheetData sheetId="4" refreshError="1"/>
      <sheetData sheetId="5" refreshError="1">
        <row r="4">
          <cell r="B4">
            <v>79307980</v>
          </cell>
        </row>
        <row r="5">
          <cell r="B5">
            <v>76000000</v>
          </cell>
        </row>
        <row r="6">
          <cell r="B6">
            <v>3307980</v>
          </cell>
        </row>
        <row r="7">
          <cell r="B7">
            <v>2882869</v>
          </cell>
        </row>
        <row r="14">
          <cell r="B14">
            <v>466632</v>
          </cell>
        </row>
        <row r="19">
          <cell r="B19">
            <v>466632</v>
          </cell>
        </row>
        <row r="26">
          <cell r="B26">
            <v>153510</v>
          </cell>
        </row>
        <row r="74">
          <cell r="B74">
            <v>20482294</v>
          </cell>
        </row>
      </sheetData>
      <sheetData sheetId="6" refreshError="1">
        <row r="177">
          <cell r="D177">
            <v>4227047</v>
          </cell>
        </row>
        <row r="1369">
          <cell r="D1369">
            <v>19000</v>
          </cell>
        </row>
        <row r="1444">
          <cell r="D1444">
            <v>54900</v>
          </cell>
        </row>
        <row r="1493">
          <cell r="D1493">
            <v>15000</v>
          </cell>
        </row>
        <row r="1576">
          <cell r="D1576">
            <v>30000</v>
          </cell>
        </row>
        <row r="1640">
          <cell r="D1640">
            <v>18000</v>
          </cell>
        </row>
        <row r="1722">
          <cell r="D1722">
            <v>20000</v>
          </cell>
        </row>
        <row r="1781">
          <cell r="D1781">
            <v>12520</v>
          </cell>
        </row>
        <row r="1843">
          <cell r="D1843">
            <v>20000</v>
          </cell>
        </row>
        <row r="1850">
          <cell r="D1850">
            <v>5500000</v>
          </cell>
        </row>
        <row r="1852">
          <cell r="D1852">
            <v>8027950</v>
          </cell>
        </row>
      </sheetData>
      <sheetData sheetId="7" refreshError="1">
        <row r="19">
          <cell r="D19">
            <v>81214967</v>
          </cell>
        </row>
        <row r="277">
          <cell r="D277">
            <v>6744000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igiteataja.ee/akt/410112016005" TargetMode="External"/><Relationship Id="rId2" Type="http://schemas.openxmlformats.org/officeDocument/2006/relationships/hyperlink" Target="https://www.riigiteataja.ee/akt/414062016002" TargetMode="External"/><Relationship Id="rId1" Type="http://schemas.openxmlformats.org/officeDocument/2006/relationships/hyperlink" Target="https://www.riigiteataja.ee/akt/423122015047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"/>
    </sheetView>
  </sheetViews>
  <sheetFormatPr defaultRowHeight="12.75"/>
  <cols>
    <col min="1" max="1" width="2" style="356" bestFit="1" customWidth="1"/>
    <col min="2" max="2" width="81.85546875" style="356" bestFit="1" customWidth="1"/>
    <col min="3" max="3" width="15.28515625" style="356" bestFit="1" customWidth="1"/>
    <col min="4" max="16384" width="9.140625" style="356"/>
  </cols>
  <sheetData>
    <row r="1" spans="1:3">
      <c r="B1" s="357" t="s">
        <v>1061</v>
      </c>
    </row>
    <row r="2" spans="1:3">
      <c r="B2" s="529" t="s">
        <v>1062</v>
      </c>
      <c r="C2" s="530" t="s">
        <v>1063</v>
      </c>
    </row>
    <row r="3" spans="1:3">
      <c r="A3" s="356">
        <v>1</v>
      </c>
      <c r="B3" s="531" t="s">
        <v>1064</v>
      </c>
      <c r="C3" s="530" t="s">
        <v>702</v>
      </c>
    </row>
    <row r="4" spans="1:3">
      <c r="A4" s="356">
        <v>2</v>
      </c>
      <c r="B4" s="531" t="s">
        <v>1065</v>
      </c>
      <c r="C4" s="530" t="s">
        <v>700</v>
      </c>
    </row>
    <row r="5" spans="1:3">
      <c r="A5" s="356">
        <v>3</v>
      </c>
      <c r="B5" s="531" t="s">
        <v>1066</v>
      </c>
      <c r="C5" s="530" t="s">
        <v>1067</v>
      </c>
    </row>
    <row r="6" spans="1:3">
      <c r="B6" s="361"/>
    </row>
    <row r="7" spans="1:3">
      <c r="B7" s="361"/>
    </row>
    <row r="8" spans="1:3">
      <c r="B8" s="361"/>
    </row>
  </sheetData>
  <hyperlinks>
    <hyperlink ref="B3" r:id="rId1" display="https://www.riigiteataja.ee/akt/423122015047"/>
    <hyperlink ref="B4" r:id="rId2" display="https://www.riigiteataja.ee/akt/414062016002"/>
    <hyperlink ref="B5" r:id="rId3" display="https://www.riigiteataja.ee/akt/410112016005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Zeros="0" zoomScaleNormal="100" workbookViewId="0"/>
  </sheetViews>
  <sheetFormatPr defaultRowHeight="12.75"/>
  <cols>
    <col min="1" max="1" width="61" style="356" bestFit="1" customWidth="1"/>
    <col min="2" max="2" width="12.28515625" style="469" customWidth="1"/>
    <col min="3" max="3" width="10.140625" style="356" hidden="1" customWidth="1"/>
    <col min="4" max="4" width="10.140625" style="356" bestFit="1" customWidth="1"/>
    <col min="5" max="16384" width="9.140625" style="356"/>
  </cols>
  <sheetData>
    <row r="1" spans="1:4" ht="15">
      <c r="A1" s="355" t="s">
        <v>954</v>
      </c>
    </row>
    <row r="2" spans="1:4">
      <c r="B2" s="470" t="s">
        <v>134</v>
      </c>
    </row>
    <row r="3" spans="1:4" ht="25.5">
      <c r="A3" s="361"/>
      <c r="B3" s="471" t="s">
        <v>774</v>
      </c>
      <c r="C3" s="471" t="s">
        <v>703</v>
      </c>
      <c r="D3" s="471" t="s">
        <v>701</v>
      </c>
    </row>
    <row r="4" spans="1:4">
      <c r="A4" s="357" t="s">
        <v>955</v>
      </c>
      <c r="B4" s="472">
        <f>B5</f>
        <v>20000000</v>
      </c>
      <c r="D4" s="472">
        <f>B4+C4</f>
        <v>20000000</v>
      </c>
    </row>
    <row r="5" spans="1:4">
      <c r="A5" s="473" t="s">
        <v>144</v>
      </c>
      <c r="B5" s="363">
        <v>20000000</v>
      </c>
      <c r="D5" s="363">
        <f t="shared" ref="D5:D13" si="0">B5+C5</f>
        <v>20000000</v>
      </c>
    </row>
    <row r="6" spans="1:4">
      <c r="A6" s="361"/>
      <c r="B6" s="363"/>
      <c r="D6" s="363">
        <f t="shared" si="0"/>
        <v>0</v>
      </c>
    </row>
    <row r="7" spans="1:4">
      <c r="A7" s="357" t="s">
        <v>956</v>
      </c>
      <c r="B7" s="472">
        <f>B8</f>
        <v>7569265</v>
      </c>
      <c r="C7" s="360"/>
      <c r="D7" s="472">
        <f t="shared" si="0"/>
        <v>7569265</v>
      </c>
    </row>
    <row r="8" spans="1:4">
      <c r="A8" s="473" t="s">
        <v>144</v>
      </c>
      <c r="B8" s="363">
        <v>7569265</v>
      </c>
      <c r="D8" s="363">
        <f t="shared" si="0"/>
        <v>7569265</v>
      </c>
    </row>
    <row r="9" spans="1:4">
      <c r="A9" s="473"/>
      <c r="B9" s="363"/>
      <c r="D9" s="363">
        <f t="shared" si="0"/>
        <v>0</v>
      </c>
    </row>
    <row r="10" spans="1:4">
      <c r="A10" s="357" t="s">
        <v>957</v>
      </c>
      <c r="B10" s="472">
        <f>B12</f>
        <v>1042360</v>
      </c>
      <c r="D10" s="472">
        <f t="shared" si="0"/>
        <v>1042360</v>
      </c>
    </row>
    <row r="11" spans="1:4">
      <c r="A11" s="474"/>
      <c r="B11" s="363"/>
      <c r="D11" s="363">
        <f t="shared" si="0"/>
        <v>0</v>
      </c>
    </row>
    <row r="12" spans="1:4">
      <c r="A12" s="475" t="s">
        <v>177</v>
      </c>
      <c r="B12" s="363">
        <f>B13</f>
        <v>1042360</v>
      </c>
      <c r="D12" s="363">
        <f t="shared" si="0"/>
        <v>1042360</v>
      </c>
    </row>
    <row r="13" spans="1:4">
      <c r="A13" s="474" t="s">
        <v>958</v>
      </c>
      <c r="B13" s="363">
        <v>1042360</v>
      </c>
      <c r="D13" s="363">
        <f t="shared" si="0"/>
        <v>1042360</v>
      </c>
    </row>
    <row r="14" spans="1:4">
      <c r="A14" s="476"/>
      <c r="B14" s="477"/>
    </row>
    <row r="15" spans="1:4">
      <c r="A15" s="476"/>
      <c r="B15" s="477"/>
    </row>
    <row r="16" spans="1:4">
      <c r="A16" s="476"/>
      <c r="B16" s="477"/>
    </row>
    <row r="17" spans="1:2">
      <c r="A17" s="476"/>
      <c r="B17" s="477"/>
    </row>
    <row r="18" spans="1:2">
      <c r="A18" s="361"/>
    </row>
    <row r="19" spans="1:2">
      <c r="A19" s="361"/>
    </row>
    <row r="29" spans="1:2" ht="15" customHeight="1"/>
  </sheetData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Normal="100" workbookViewId="0"/>
  </sheetViews>
  <sheetFormatPr defaultRowHeight="12.75"/>
  <cols>
    <col min="1" max="1" width="66.7109375" style="356" customWidth="1"/>
    <col min="2" max="2" width="12.42578125" style="356" customWidth="1"/>
    <col min="3" max="5" width="11.7109375" style="356" bestFit="1" customWidth="1"/>
    <col min="6" max="16384" width="9.140625" style="356"/>
  </cols>
  <sheetData>
    <row r="1" spans="1:5" ht="15">
      <c r="A1" s="479" t="s">
        <v>959</v>
      </c>
      <c r="B1" s="480"/>
    </row>
    <row r="2" spans="1:5" ht="12.75" customHeight="1">
      <c r="A2" s="481"/>
      <c r="B2" s="482" t="s">
        <v>134</v>
      </c>
    </row>
    <row r="3" spans="1:5" ht="25.5">
      <c r="A3" s="481"/>
      <c r="B3" s="471" t="s">
        <v>702</v>
      </c>
      <c r="C3" s="471" t="s">
        <v>701</v>
      </c>
    </row>
    <row r="4" spans="1:5">
      <c r="A4" s="483" t="s">
        <v>960</v>
      </c>
      <c r="B4" s="472">
        <v>529733080</v>
      </c>
      <c r="C4" s="582">
        <v>555162363</v>
      </c>
      <c r="D4" s="360"/>
      <c r="E4" s="360"/>
    </row>
    <row r="5" spans="1:5">
      <c r="A5" s="483" t="s">
        <v>961</v>
      </c>
      <c r="B5" s="472">
        <v>429322664</v>
      </c>
      <c r="C5" s="582">
        <v>443414034</v>
      </c>
      <c r="D5" s="360"/>
      <c r="E5" s="360"/>
    </row>
    <row r="6" spans="1:5">
      <c r="A6" s="484" t="s">
        <v>962</v>
      </c>
      <c r="B6" s="360">
        <v>365135000</v>
      </c>
      <c r="C6" s="583">
        <v>377488000</v>
      </c>
      <c r="D6" s="360"/>
      <c r="E6" s="360"/>
    </row>
    <row r="7" spans="1:5">
      <c r="A7" s="484" t="s">
        <v>963</v>
      </c>
      <c r="B7" s="360">
        <v>326300000</v>
      </c>
      <c r="C7" s="583">
        <v>338300000</v>
      </c>
      <c r="D7" s="360"/>
      <c r="E7" s="360"/>
    </row>
    <row r="8" spans="1:5">
      <c r="A8" s="485" t="s">
        <v>964</v>
      </c>
      <c r="B8" s="360">
        <v>27800000</v>
      </c>
      <c r="C8" s="583">
        <v>27800000</v>
      </c>
      <c r="D8" s="360"/>
      <c r="E8" s="360"/>
    </row>
    <row r="9" spans="1:5">
      <c r="A9" s="486" t="s">
        <v>965</v>
      </c>
      <c r="B9" s="360">
        <v>11035000</v>
      </c>
      <c r="C9" s="583">
        <v>11388000</v>
      </c>
      <c r="D9" s="360"/>
      <c r="E9" s="360"/>
    </row>
    <row r="10" spans="1:5">
      <c r="A10" s="487" t="s">
        <v>966</v>
      </c>
      <c r="B10" s="360">
        <v>62485514</v>
      </c>
      <c r="C10" s="583">
        <v>63911437</v>
      </c>
      <c r="D10" s="360"/>
      <c r="E10" s="360"/>
    </row>
    <row r="11" spans="1:5">
      <c r="A11" s="487" t="s">
        <v>138</v>
      </c>
      <c r="B11" s="360">
        <v>1702150</v>
      </c>
      <c r="C11" s="583">
        <v>2014597</v>
      </c>
      <c r="D11" s="360"/>
      <c r="E11" s="360"/>
    </row>
    <row r="12" spans="1:5">
      <c r="A12" s="488" t="s">
        <v>967</v>
      </c>
      <c r="B12" s="472">
        <v>100410416</v>
      </c>
      <c r="C12" s="582">
        <v>111748329</v>
      </c>
      <c r="D12" s="360"/>
      <c r="E12" s="360"/>
    </row>
    <row r="13" spans="1:5">
      <c r="A13" s="487" t="s">
        <v>968</v>
      </c>
      <c r="B13" s="360">
        <v>79307980</v>
      </c>
      <c r="C13" s="583">
        <v>89892231</v>
      </c>
      <c r="D13" s="360"/>
      <c r="E13" s="360"/>
    </row>
    <row r="14" spans="1:5">
      <c r="A14" s="486" t="s">
        <v>152</v>
      </c>
      <c r="B14" s="360">
        <v>21102436</v>
      </c>
      <c r="C14" s="583">
        <v>21856098</v>
      </c>
      <c r="D14" s="360"/>
      <c r="E14" s="360"/>
    </row>
    <row r="15" spans="1:5">
      <c r="A15" s="488" t="s">
        <v>969</v>
      </c>
      <c r="B15" s="472">
        <v>-496767487</v>
      </c>
      <c r="C15" s="582">
        <v>-514918586</v>
      </c>
      <c r="D15" s="360"/>
      <c r="E15" s="360"/>
    </row>
    <row r="16" spans="1:5">
      <c r="A16" s="487" t="s">
        <v>970</v>
      </c>
      <c r="B16" s="360">
        <v>-491267487</v>
      </c>
      <c r="C16" s="583">
        <v>-509613586</v>
      </c>
      <c r="D16" s="360"/>
      <c r="E16" s="360"/>
    </row>
    <row r="17" spans="1:5">
      <c r="A17" s="486" t="s">
        <v>971</v>
      </c>
      <c r="B17" s="360">
        <v>-5500000</v>
      </c>
      <c r="C17" s="583">
        <v>-5305000</v>
      </c>
      <c r="D17" s="360"/>
      <c r="E17" s="360"/>
    </row>
    <row r="18" spans="1:5">
      <c r="A18" s="488" t="s">
        <v>972</v>
      </c>
      <c r="B18" s="472">
        <v>32965593</v>
      </c>
      <c r="C18" s="582">
        <v>40243777</v>
      </c>
      <c r="D18" s="360"/>
      <c r="E18" s="360"/>
    </row>
    <row r="19" spans="1:5">
      <c r="A19" s="489"/>
      <c r="C19" s="49"/>
      <c r="D19" s="360"/>
      <c r="E19" s="360"/>
    </row>
    <row r="20" spans="1:5">
      <c r="A20" s="483" t="s">
        <v>973</v>
      </c>
      <c r="B20" s="472">
        <v>11867000</v>
      </c>
      <c r="C20" s="582">
        <v>12327201</v>
      </c>
      <c r="D20" s="360"/>
      <c r="E20" s="360"/>
    </row>
    <row r="21" spans="1:5">
      <c r="A21" s="490" t="s">
        <v>974</v>
      </c>
      <c r="B21" s="360">
        <v>2917000</v>
      </c>
      <c r="C21" s="583">
        <v>3241384</v>
      </c>
      <c r="D21" s="360"/>
      <c r="E21" s="360"/>
    </row>
    <row r="22" spans="1:5">
      <c r="A22" s="491" t="s">
        <v>975</v>
      </c>
      <c r="B22" s="360">
        <v>8900000</v>
      </c>
      <c r="C22" s="583">
        <v>9045817</v>
      </c>
      <c r="D22" s="360"/>
      <c r="E22" s="360"/>
    </row>
    <row r="23" spans="1:5">
      <c r="A23" s="491" t="s">
        <v>976</v>
      </c>
      <c r="B23" s="360">
        <v>50000</v>
      </c>
      <c r="C23" s="583">
        <v>40000</v>
      </c>
      <c r="D23" s="360"/>
      <c r="E23" s="360"/>
    </row>
    <row r="24" spans="1:5">
      <c r="A24" s="488" t="s">
        <v>977</v>
      </c>
      <c r="B24" s="472">
        <v>-65313974</v>
      </c>
      <c r="C24" s="582">
        <v>-68513991</v>
      </c>
      <c r="D24" s="360"/>
      <c r="E24" s="360"/>
    </row>
    <row r="25" spans="1:5">
      <c r="A25" s="490" t="s">
        <v>978</v>
      </c>
      <c r="B25" s="360">
        <v>-65053974</v>
      </c>
      <c r="C25" s="583">
        <v>-67253991</v>
      </c>
      <c r="D25" s="360"/>
      <c r="E25" s="360"/>
    </row>
    <row r="26" spans="1:5">
      <c r="A26" s="491" t="s">
        <v>979</v>
      </c>
      <c r="B26" s="360">
        <v>-260000</v>
      </c>
      <c r="C26" s="583">
        <v>-1260000</v>
      </c>
      <c r="D26" s="360"/>
      <c r="E26" s="360"/>
    </row>
    <row r="27" spans="1:5">
      <c r="A27" s="488" t="s">
        <v>980</v>
      </c>
      <c r="B27" s="472">
        <v>-53446974</v>
      </c>
      <c r="C27" s="582">
        <v>-56186790</v>
      </c>
      <c r="D27" s="360"/>
      <c r="E27" s="360"/>
    </row>
    <row r="28" spans="1:5">
      <c r="A28" s="359"/>
      <c r="C28" s="49"/>
      <c r="D28" s="360"/>
      <c r="E28" s="360"/>
    </row>
    <row r="29" spans="1:5">
      <c r="A29" s="483" t="s">
        <v>981</v>
      </c>
      <c r="B29" s="472">
        <v>20000000</v>
      </c>
      <c r="C29" s="582">
        <v>20000000</v>
      </c>
      <c r="D29" s="360"/>
      <c r="E29" s="360"/>
    </row>
    <row r="30" spans="1:5">
      <c r="A30" s="484" t="s">
        <v>982</v>
      </c>
      <c r="B30" s="360">
        <v>20000000</v>
      </c>
      <c r="C30" s="583">
        <v>20000000</v>
      </c>
      <c r="D30" s="360"/>
      <c r="E30" s="360"/>
    </row>
    <row r="31" spans="1:5">
      <c r="A31" s="488" t="s">
        <v>983</v>
      </c>
      <c r="B31" s="472">
        <v>-8611625</v>
      </c>
      <c r="C31" s="582">
        <v>-8611625</v>
      </c>
      <c r="D31" s="360"/>
      <c r="E31" s="360"/>
    </row>
    <row r="32" spans="1:5">
      <c r="A32" s="484" t="s">
        <v>984</v>
      </c>
      <c r="B32" s="360">
        <v>-7569265</v>
      </c>
      <c r="C32" s="583">
        <v>-7569265</v>
      </c>
      <c r="D32" s="360"/>
      <c r="E32" s="360"/>
    </row>
    <row r="33" spans="1:5">
      <c r="A33" s="486" t="s">
        <v>985</v>
      </c>
      <c r="B33" s="360">
        <v>-1042360</v>
      </c>
      <c r="C33" s="583">
        <v>-1042360</v>
      </c>
      <c r="D33" s="360"/>
      <c r="E33" s="360"/>
    </row>
    <row r="34" spans="1:5">
      <c r="A34" s="488" t="s">
        <v>986</v>
      </c>
      <c r="B34" s="472">
        <v>11388375</v>
      </c>
      <c r="C34" s="582">
        <v>11388375</v>
      </c>
    </row>
    <row r="35" spans="1:5">
      <c r="A35" s="359"/>
      <c r="C35" s="49"/>
    </row>
    <row r="36" spans="1:5">
      <c r="A36" s="483" t="s">
        <v>987</v>
      </c>
      <c r="B36" s="472">
        <v>561600080</v>
      </c>
      <c r="C36" s="582">
        <v>587489564</v>
      </c>
    </row>
    <row r="37" spans="1:5">
      <c r="A37" s="483" t="s">
        <v>988</v>
      </c>
      <c r="B37" s="472">
        <v>-570693086</v>
      </c>
      <c r="C37" s="582">
        <v>-592044202</v>
      </c>
    </row>
    <row r="38" spans="1:5">
      <c r="A38" s="483" t="s">
        <v>989</v>
      </c>
      <c r="B38" s="472">
        <v>-9093006</v>
      </c>
      <c r="C38" s="582">
        <v>-4554638</v>
      </c>
    </row>
    <row r="39" spans="1:5">
      <c r="A39" s="483"/>
      <c r="B39" s="492"/>
    </row>
    <row r="40" spans="1:5">
      <c r="A40" s="483"/>
      <c r="B40" s="492"/>
    </row>
    <row r="41" spans="1:5">
      <c r="A41" s="483"/>
      <c r="B41" s="472"/>
    </row>
    <row r="42" spans="1:5">
      <c r="A42" s="483"/>
      <c r="B42" s="472"/>
    </row>
    <row r="43" spans="1:5">
      <c r="A43" s="361"/>
    </row>
    <row r="44" spans="1:5">
      <c r="A44" s="361"/>
    </row>
  </sheetData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/>
  </sheetViews>
  <sheetFormatPr defaultRowHeight="12.75"/>
  <cols>
    <col min="1" max="1" width="49.7109375" style="356" customWidth="1"/>
    <col min="2" max="2" width="13.28515625" style="361" customWidth="1"/>
    <col min="3" max="4" width="10.140625" style="356" hidden="1" customWidth="1"/>
    <col min="5" max="5" width="11.140625" style="356" bestFit="1" customWidth="1"/>
    <col min="6" max="16384" width="9.140625" style="356"/>
  </cols>
  <sheetData>
    <row r="1" spans="1:5" ht="33.75" customHeight="1">
      <c r="A1" s="493" t="s">
        <v>990</v>
      </c>
    </row>
    <row r="2" spans="1:5" ht="12.75" customHeight="1">
      <c r="A2" s="481"/>
      <c r="B2" s="470" t="s">
        <v>134</v>
      </c>
    </row>
    <row r="3" spans="1:5" ht="53.25" customHeight="1">
      <c r="A3" s="481"/>
      <c r="B3" s="471" t="s">
        <v>702</v>
      </c>
      <c r="C3" s="471" t="s">
        <v>700</v>
      </c>
      <c r="D3" s="471" t="s">
        <v>1067</v>
      </c>
      <c r="E3" s="471" t="s">
        <v>701</v>
      </c>
    </row>
    <row r="4" spans="1:5" ht="15">
      <c r="A4" s="481"/>
      <c r="B4" s="494"/>
    </row>
    <row r="5" spans="1:5">
      <c r="A5" s="357" t="s">
        <v>991</v>
      </c>
      <c r="B5" s="302">
        <f>SUM(B7:B10)</f>
        <v>508454043</v>
      </c>
      <c r="C5" s="302">
        <f t="shared" ref="C5" si="0">SUM(C7:C10)</f>
        <v>17310638</v>
      </c>
      <c r="D5" s="578">
        <f t="shared" ref="D5" si="1">SUM(D7:D10)</f>
        <v>7943622</v>
      </c>
      <c r="E5" s="302">
        <f>SUM(B5:D5)</f>
        <v>533708303</v>
      </c>
    </row>
    <row r="6" spans="1:5">
      <c r="B6" s="278"/>
      <c r="C6" s="278"/>
      <c r="D6" s="579"/>
      <c r="E6" s="278">
        <f t="shared" ref="E6:E39" si="2">SUM(B6:D6)</f>
        <v>0</v>
      </c>
    </row>
    <row r="7" spans="1:5">
      <c r="A7" s="356" t="s">
        <v>992</v>
      </c>
      <c r="B7" s="280">
        <f>'[1]1 KOONDEELARVE'!B6+'[1]1 KOONDEELARVE'!B7</f>
        <v>365135000</v>
      </c>
      <c r="C7" s="280">
        <v>6180000</v>
      </c>
      <c r="D7" s="580">
        <v>6173000</v>
      </c>
      <c r="E7" s="280">
        <f t="shared" si="2"/>
        <v>377488000</v>
      </c>
    </row>
    <row r="8" spans="1:5">
      <c r="A8" s="356" t="s">
        <v>993</v>
      </c>
      <c r="B8" s="280">
        <f>'[1]1 KOONDEELARVE'!B8+'[1]1 KOONDEELARVE'!B9</f>
        <v>63044514</v>
      </c>
      <c r="C8" s="280">
        <v>29069</v>
      </c>
      <c r="D8" s="580">
        <v>1437644</v>
      </c>
      <c r="E8" s="280">
        <f t="shared" si="2"/>
        <v>64511227</v>
      </c>
    </row>
    <row r="9" spans="1:5">
      <c r="A9" s="356" t="s">
        <v>994</v>
      </c>
      <c r="B9" s="280">
        <f>'[1]2.3 TOETUSED'!B5+'[1]2.3 TOETUSED'!B26+10000+85000+'[1]2.3 TOETUSED'!B7</f>
        <v>79131379</v>
      </c>
      <c r="C9" s="280">
        <v>11065732</v>
      </c>
      <c r="D9" s="580">
        <v>84674</v>
      </c>
      <c r="E9" s="280">
        <f t="shared" si="2"/>
        <v>90281785</v>
      </c>
    </row>
    <row r="10" spans="1:5">
      <c r="A10" s="356" t="s">
        <v>995</v>
      </c>
      <c r="B10" s="280">
        <f>'[1]1 KOONDEELARVE'!B10+'[1]1 KOONDEELARVE'!B15</f>
        <v>1143150</v>
      </c>
      <c r="C10" s="280">
        <v>35837</v>
      </c>
      <c r="D10" s="580">
        <v>248304</v>
      </c>
      <c r="E10" s="280">
        <f t="shared" si="2"/>
        <v>1427291</v>
      </c>
    </row>
    <row r="11" spans="1:5">
      <c r="A11" s="343"/>
      <c r="B11" s="278"/>
      <c r="C11" s="278"/>
      <c r="D11" s="579"/>
      <c r="E11" s="278">
        <f t="shared" si="2"/>
        <v>0</v>
      </c>
    </row>
    <row r="12" spans="1:5">
      <c r="A12" s="309" t="s">
        <v>996</v>
      </c>
      <c r="B12" s="302">
        <f>B14+B15+B16</f>
        <v>467465796</v>
      </c>
      <c r="C12" s="302">
        <f t="shared" ref="C12:D12" si="3">C14+C15+C16</f>
        <v>14396594</v>
      </c>
      <c r="D12" s="578">
        <f t="shared" si="3"/>
        <v>-3139132</v>
      </c>
      <c r="E12" s="302">
        <f t="shared" si="2"/>
        <v>478723258</v>
      </c>
    </row>
    <row r="13" spans="1:5">
      <c r="A13" s="343"/>
      <c r="B13" s="278"/>
      <c r="C13" s="278"/>
      <c r="D13" s="579"/>
      <c r="E13" s="278">
        <f t="shared" si="2"/>
        <v>0</v>
      </c>
    </row>
    <row r="14" spans="1:5">
      <c r="A14" s="343" t="s">
        <v>997</v>
      </c>
      <c r="B14" s="363">
        <v>89648765</v>
      </c>
      <c r="C14" s="363">
        <v>296649</v>
      </c>
      <c r="D14" s="581">
        <v>162397</v>
      </c>
      <c r="E14" s="363">
        <f t="shared" si="2"/>
        <v>90107811</v>
      </c>
    </row>
    <row r="15" spans="1:5">
      <c r="A15" s="343" t="s">
        <v>998</v>
      </c>
      <c r="B15" s="280">
        <v>369599661</v>
      </c>
      <c r="C15" s="280">
        <v>14496623</v>
      </c>
      <c r="D15" s="580">
        <v>2497774</v>
      </c>
      <c r="E15" s="280">
        <f t="shared" si="2"/>
        <v>386594058</v>
      </c>
    </row>
    <row r="16" spans="1:5">
      <c r="A16" s="343" t="s">
        <v>999</v>
      </c>
      <c r="B16" s="280">
        <f>'[1]3 KULUD'!D1852+'[1]3 KULUD'!D1843+'[1]3 KULUD'!D1781+'[1]3 KULUD'!D1722+'[1]3 KULUD'!D1640+'[1]3 KULUD'!D1576+'[1]3 KULUD'!D1493+'[1]3 KULUD'!D1444+'[1]3 KULUD'!D1369</f>
        <v>8217370</v>
      </c>
      <c r="C16" s="280">
        <v>-396678</v>
      </c>
      <c r="D16" s="580">
        <v>-5799303</v>
      </c>
      <c r="E16" s="280">
        <f t="shared" si="2"/>
        <v>2021389</v>
      </c>
    </row>
    <row r="17" spans="1:5">
      <c r="A17" s="343"/>
      <c r="B17" s="278"/>
      <c r="C17" s="278"/>
      <c r="D17" s="579"/>
      <c r="E17" s="278">
        <f t="shared" si="2"/>
        <v>0</v>
      </c>
    </row>
    <row r="18" spans="1:5">
      <c r="A18" s="343" t="s">
        <v>1000</v>
      </c>
      <c r="B18" s="280">
        <f>B5-B12</f>
        <v>40988247</v>
      </c>
      <c r="C18" s="280">
        <f t="shared" ref="C18:D18" si="4">C5-C12</f>
        <v>2914044</v>
      </c>
      <c r="D18" s="52">
        <f t="shared" si="4"/>
        <v>11082754</v>
      </c>
      <c r="E18" s="280">
        <f t="shared" si="2"/>
        <v>54985045</v>
      </c>
    </row>
    <row r="19" spans="1:5">
      <c r="A19" s="343"/>
      <c r="B19" s="278"/>
      <c r="C19" s="278"/>
      <c r="D19" s="579"/>
      <c r="E19" s="278">
        <f t="shared" si="2"/>
        <v>0</v>
      </c>
    </row>
    <row r="20" spans="1:5">
      <c r="A20" s="357" t="s">
        <v>1001</v>
      </c>
      <c r="B20" s="302">
        <f>B22-B23+B24-B25+B28-B29-B27</f>
        <v>-61469628</v>
      </c>
      <c r="C20" s="302">
        <f t="shared" ref="C20" si="5">C22-C23+C24-C25+C28-C29-C27</f>
        <v>-8031028</v>
      </c>
      <c r="D20" s="578">
        <f>D22-D23+D24-D25+D28-D29-D27</f>
        <v>-4330829</v>
      </c>
      <c r="E20" s="302">
        <f t="shared" si="2"/>
        <v>-73831485</v>
      </c>
    </row>
    <row r="21" spans="1:5">
      <c r="B21" s="278"/>
      <c r="C21" s="278"/>
      <c r="D21" s="579"/>
      <c r="E21" s="278">
        <f t="shared" si="2"/>
        <v>0</v>
      </c>
    </row>
    <row r="22" spans="1:5">
      <c r="A22" s="356" t="s">
        <v>1002</v>
      </c>
      <c r="B22" s="280">
        <f>'[1]1 KOONDEELARVE'!B12+'[1]1 KOONDEELARVE'!B14</f>
        <v>2917000</v>
      </c>
      <c r="C22" s="280">
        <v>300000</v>
      </c>
      <c r="D22" s="580">
        <v>11900</v>
      </c>
      <c r="E22" s="280">
        <f t="shared" si="2"/>
        <v>3228900</v>
      </c>
    </row>
    <row r="23" spans="1:5">
      <c r="A23" s="361" t="s">
        <v>1003</v>
      </c>
      <c r="B23" s="280">
        <v>77876368</v>
      </c>
      <c r="C23" s="280">
        <v>3549362</v>
      </c>
      <c r="D23" s="580">
        <v>-1263691</v>
      </c>
      <c r="E23" s="280">
        <f t="shared" si="2"/>
        <v>80162039</v>
      </c>
    </row>
    <row r="24" spans="1:5">
      <c r="A24" s="356" t="s">
        <v>1004</v>
      </c>
      <c r="B24" s="280">
        <f>'[1]2.3 TOETUSED'!B6+'[1]2.3 TOETUSED'!B19+'[1]2.3 TOETUSED'!B74-10000-85000-'[1]2.3 TOETUSED'!B7</f>
        <v>21279037</v>
      </c>
      <c r="C24" s="280">
        <v>187507</v>
      </c>
      <c r="D24" s="580">
        <v>0</v>
      </c>
      <c r="E24" s="280">
        <f t="shared" si="2"/>
        <v>21466544</v>
      </c>
    </row>
    <row r="25" spans="1:5">
      <c r="A25" s="361" t="s">
        <v>1005</v>
      </c>
      <c r="B25" s="280">
        <f>'[1]4 INVEST'!D277</f>
        <v>6744000</v>
      </c>
      <c r="C25" s="280">
        <v>300000</v>
      </c>
      <c r="D25" s="580">
        <v>4606420</v>
      </c>
      <c r="E25" s="280">
        <f t="shared" si="2"/>
        <v>11650420</v>
      </c>
    </row>
    <row r="26" spans="1:5">
      <c r="B26" s="280"/>
      <c r="C26" s="280"/>
      <c r="D26" s="580"/>
      <c r="E26" s="280">
        <f t="shared" si="2"/>
        <v>0</v>
      </c>
    </row>
    <row r="27" spans="1:5" s="361" customFormat="1">
      <c r="A27" s="278" t="s">
        <v>1006</v>
      </c>
      <c r="B27" s="280">
        <v>260000</v>
      </c>
      <c r="C27" s="280">
        <v>4999990</v>
      </c>
      <c r="D27" s="580">
        <v>1000000</v>
      </c>
      <c r="E27" s="280">
        <f t="shared" si="2"/>
        <v>6259990</v>
      </c>
    </row>
    <row r="28" spans="1:5">
      <c r="A28" s="356" t="s">
        <v>1007</v>
      </c>
      <c r="B28" s="280">
        <f>'[1]1 KOONDEELARVE'!B16+'[1]1 KOONDEELARVE'!B11</f>
        <v>8950000</v>
      </c>
      <c r="C28" s="280">
        <v>145817</v>
      </c>
      <c r="D28" s="580">
        <v>-10000</v>
      </c>
      <c r="E28" s="280">
        <f t="shared" si="2"/>
        <v>9085817</v>
      </c>
    </row>
    <row r="29" spans="1:5">
      <c r="A29" s="356" t="s">
        <v>1008</v>
      </c>
      <c r="B29" s="280">
        <f>'[1]3 KULUD'!D1850+'[1]3 KULUD'!D177+8250</f>
        <v>9735297</v>
      </c>
      <c r="C29" s="280">
        <v>-185000</v>
      </c>
      <c r="D29" s="580">
        <v>-10000</v>
      </c>
      <c r="E29" s="280">
        <f t="shared" si="2"/>
        <v>9540297</v>
      </c>
    </row>
    <row r="30" spans="1:5">
      <c r="B30" s="278"/>
      <c r="C30" s="278"/>
      <c r="D30" s="579"/>
      <c r="E30" s="278">
        <f t="shared" si="2"/>
        <v>0</v>
      </c>
    </row>
    <row r="31" spans="1:5">
      <c r="A31" s="356" t="s">
        <v>1009</v>
      </c>
      <c r="B31" s="280">
        <f>B18+B20</f>
        <v>-20481381</v>
      </c>
      <c r="C31" s="280">
        <f t="shared" ref="C31:D31" si="6">C18+C20</f>
        <v>-5116984</v>
      </c>
      <c r="D31" s="52">
        <f t="shared" si="6"/>
        <v>6751925</v>
      </c>
      <c r="E31" s="280">
        <f t="shared" si="2"/>
        <v>-18846440</v>
      </c>
    </row>
    <row r="32" spans="1:5">
      <c r="B32" s="278"/>
      <c r="C32" s="278"/>
      <c r="D32" s="579"/>
      <c r="E32" s="278">
        <f t="shared" si="2"/>
        <v>0</v>
      </c>
    </row>
    <row r="33" spans="1:5">
      <c r="A33" s="357" t="s">
        <v>1010</v>
      </c>
      <c r="B33" s="302">
        <f>B35-B36</f>
        <v>11388375</v>
      </c>
      <c r="C33" s="302">
        <f t="shared" ref="C33:D33" si="7">C35-C36</f>
        <v>0</v>
      </c>
      <c r="D33" s="578">
        <f t="shared" si="7"/>
        <v>0</v>
      </c>
      <c r="E33" s="302">
        <f t="shared" si="2"/>
        <v>11388375</v>
      </c>
    </row>
    <row r="34" spans="1:5">
      <c r="B34" s="278"/>
      <c r="C34" s="278"/>
      <c r="D34" s="579"/>
      <c r="E34" s="278">
        <f t="shared" si="2"/>
        <v>0</v>
      </c>
    </row>
    <row r="35" spans="1:5">
      <c r="A35" s="356" t="s">
        <v>1011</v>
      </c>
      <c r="B35" s="280">
        <f>'[1]1 KOONDEELARVE'!B59</f>
        <v>20000000</v>
      </c>
      <c r="C35" s="280"/>
      <c r="D35" s="580">
        <v>0</v>
      </c>
      <c r="E35" s="280">
        <f t="shared" si="2"/>
        <v>20000000</v>
      </c>
    </row>
    <row r="36" spans="1:5">
      <c r="A36" s="356" t="s">
        <v>1012</v>
      </c>
      <c r="B36" s="280">
        <f>'[1]1 KOONDEELARVE'!B60+'[1]1 KOONDEELARVE'!B61</f>
        <v>8611625</v>
      </c>
      <c r="C36" s="280"/>
      <c r="D36" s="580">
        <v>0</v>
      </c>
      <c r="E36" s="280">
        <f t="shared" si="2"/>
        <v>8611625</v>
      </c>
    </row>
    <row r="37" spans="1:5">
      <c r="B37" s="278"/>
      <c r="C37" s="278"/>
      <c r="D37" s="579"/>
      <c r="E37" s="278">
        <f t="shared" si="2"/>
        <v>0</v>
      </c>
    </row>
    <row r="38" spans="1:5">
      <c r="A38" s="357" t="s">
        <v>1013</v>
      </c>
      <c r="B38" s="302">
        <f>B39+B33+B31</f>
        <v>-9093006</v>
      </c>
      <c r="C38" s="302">
        <f t="shared" ref="C38:D38" si="8">C39+C33+C31</f>
        <v>-2213557</v>
      </c>
      <c r="D38" s="578">
        <f t="shared" si="8"/>
        <v>6751925</v>
      </c>
      <c r="E38" s="302">
        <f t="shared" si="2"/>
        <v>-4554638</v>
      </c>
    </row>
    <row r="39" spans="1:5">
      <c r="A39" s="357" t="s">
        <v>1014</v>
      </c>
      <c r="B39" s="302">
        <v>0</v>
      </c>
      <c r="C39" s="302">
        <v>2903427</v>
      </c>
      <c r="D39" s="302"/>
      <c r="E39" s="302">
        <f t="shared" si="2"/>
        <v>2903427</v>
      </c>
    </row>
    <row r="40" spans="1:5">
      <c r="A40" s="361"/>
      <c r="B40" s="363"/>
      <c r="C40" s="363"/>
      <c r="D40" s="363"/>
      <c r="E40" s="363"/>
    </row>
    <row r="41" spans="1:5">
      <c r="A41" s="483"/>
      <c r="C41" s="361"/>
      <c r="D41" s="361"/>
      <c r="E41" s="361"/>
    </row>
    <row r="42" spans="1:5">
      <c r="A42" s="483"/>
      <c r="C42" s="361"/>
      <c r="D42" s="361"/>
      <c r="E42" s="361"/>
    </row>
    <row r="43" spans="1:5">
      <c r="A43" s="483"/>
    </row>
    <row r="44" spans="1:5">
      <c r="A44" s="361"/>
    </row>
    <row r="45" spans="1:5">
      <c r="A45" s="361"/>
    </row>
  </sheetData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showZeros="0" tabSelected="1" zoomScaleNormal="100" workbookViewId="0"/>
  </sheetViews>
  <sheetFormatPr defaultRowHeight="12.75"/>
  <cols>
    <col min="1" max="1" width="62.28515625" style="356" customWidth="1"/>
    <col min="2" max="2" width="12.7109375" style="356" customWidth="1"/>
    <col min="3" max="4" width="10.7109375" style="356" hidden="1" customWidth="1"/>
    <col min="5" max="5" width="13" style="356" customWidth="1"/>
    <col min="6" max="16384" width="9.140625" style="356"/>
  </cols>
  <sheetData>
    <row r="1" spans="1:5" ht="23.25" customHeight="1">
      <c r="A1" s="495" t="s">
        <v>1015</v>
      </c>
      <c r="B1" s="362"/>
    </row>
    <row r="2" spans="1:5" ht="13.5" customHeight="1">
      <c r="A2" s="495"/>
      <c r="B2" s="362"/>
      <c r="E2" s="358" t="s">
        <v>134</v>
      </c>
    </row>
    <row r="3" spans="1:5" ht="38.25" customHeight="1">
      <c r="A3" s="478"/>
      <c r="B3" s="471" t="s">
        <v>702</v>
      </c>
      <c r="C3" s="471" t="s">
        <v>700</v>
      </c>
      <c r="D3" s="471" t="s">
        <v>1067</v>
      </c>
      <c r="E3" s="471" t="s">
        <v>701</v>
      </c>
    </row>
    <row r="4" spans="1:5">
      <c r="A4" s="309" t="s">
        <v>1016</v>
      </c>
      <c r="B4" s="361"/>
    </row>
    <row r="5" spans="1:5">
      <c r="A5" s="281"/>
      <c r="B5" s="496"/>
    </row>
    <row r="6" spans="1:5">
      <c r="A6" s="540" t="s">
        <v>1017</v>
      </c>
      <c r="B6" s="541">
        <f t="shared" ref="B6:C6" si="0">SUM(B7:B20)</f>
        <v>540101948</v>
      </c>
      <c r="C6" s="541">
        <f t="shared" si="0"/>
        <v>17937162</v>
      </c>
      <c r="D6" s="541">
        <f t="shared" ref="D6" si="1">SUM(D7:D20)</f>
        <v>7945522</v>
      </c>
      <c r="E6" s="541">
        <f>SUM(B6:D6)</f>
        <v>565984632</v>
      </c>
    </row>
    <row r="7" spans="1:5">
      <c r="A7" s="542" t="s">
        <v>135</v>
      </c>
      <c r="B7" s="543">
        <v>354100000</v>
      </c>
      <c r="C7" s="543">
        <v>6000000</v>
      </c>
      <c r="D7" s="544">
        <v>6000000</v>
      </c>
      <c r="E7" s="544">
        <f t="shared" ref="E7:E70" si="2">SUM(B7:D7)</f>
        <v>366100000</v>
      </c>
    </row>
    <row r="8" spans="1:5">
      <c r="A8" s="542" t="s">
        <v>136</v>
      </c>
      <c r="B8" s="543">
        <v>11035000</v>
      </c>
      <c r="C8" s="543">
        <v>180000</v>
      </c>
      <c r="D8" s="544">
        <v>173000</v>
      </c>
      <c r="E8" s="544">
        <f t="shared" si="2"/>
        <v>11388000</v>
      </c>
    </row>
    <row r="9" spans="1:5">
      <c r="A9" s="542" t="s">
        <v>137</v>
      </c>
      <c r="B9" s="543">
        <v>559000</v>
      </c>
      <c r="C9" s="543"/>
      <c r="D9" s="544">
        <v>40790</v>
      </c>
      <c r="E9" s="544">
        <f t="shared" si="2"/>
        <v>599790</v>
      </c>
    </row>
    <row r="10" spans="1:5">
      <c r="A10" s="542" t="s">
        <v>1018</v>
      </c>
      <c r="B10" s="543">
        <v>62485514</v>
      </c>
      <c r="C10" s="543">
        <v>29069</v>
      </c>
      <c r="D10" s="544">
        <v>1396854</v>
      </c>
      <c r="E10" s="544">
        <f t="shared" si="2"/>
        <v>63911437</v>
      </c>
    </row>
    <row r="11" spans="1:5">
      <c r="A11" s="542" t="s">
        <v>138</v>
      </c>
      <c r="B11" s="543">
        <v>996000</v>
      </c>
      <c r="C11" s="543">
        <v>25193</v>
      </c>
      <c r="D11" s="544">
        <v>221738</v>
      </c>
      <c r="E11" s="544">
        <f t="shared" si="2"/>
        <v>1242931</v>
      </c>
    </row>
    <row r="12" spans="1:5">
      <c r="A12" s="542" t="s">
        <v>139</v>
      </c>
      <c r="B12" s="543">
        <v>50000</v>
      </c>
      <c r="C12" s="543"/>
      <c r="D12" s="544">
        <v>-10000</v>
      </c>
      <c r="E12" s="544">
        <f t="shared" si="2"/>
        <v>40000</v>
      </c>
    </row>
    <row r="13" spans="1:5">
      <c r="A13" s="542" t="s">
        <v>1019</v>
      </c>
      <c r="B13" s="543">
        <v>2927000</v>
      </c>
      <c r="C13" s="543">
        <v>309484</v>
      </c>
      <c r="D13" s="544">
        <v>14900</v>
      </c>
      <c r="E13" s="544">
        <f t="shared" si="2"/>
        <v>3251384</v>
      </c>
    </row>
    <row r="14" spans="1:5">
      <c r="A14" s="542" t="s">
        <v>1020</v>
      </c>
      <c r="B14" s="543">
        <v>-1498132</v>
      </c>
      <c r="C14" s="543">
        <v>-6800</v>
      </c>
      <c r="D14" s="544"/>
      <c r="E14" s="544">
        <f t="shared" si="2"/>
        <v>-1504932</v>
      </c>
    </row>
    <row r="15" spans="1:5">
      <c r="A15" s="542" t="s">
        <v>140</v>
      </c>
      <c r="B15" s="543">
        <v>-10000</v>
      </c>
      <c r="C15" s="543"/>
      <c r="D15" s="544"/>
      <c r="E15" s="544">
        <f t="shared" si="2"/>
        <v>-10000</v>
      </c>
    </row>
    <row r="16" spans="1:5">
      <c r="A16" s="542" t="s">
        <v>141</v>
      </c>
      <c r="B16" s="543">
        <v>147150</v>
      </c>
      <c r="C16" s="543">
        <v>1160</v>
      </c>
      <c r="D16" s="544">
        <v>23566</v>
      </c>
      <c r="E16" s="544">
        <f t="shared" si="2"/>
        <v>171876</v>
      </c>
    </row>
    <row r="17" spans="1:5">
      <c r="A17" s="542" t="s">
        <v>142</v>
      </c>
      <c r="B17" s="543">
        <v>8900000</v>
      </c>
      <c r="C17" s="543">
        <v>145817</v>
      </c>
      <c r="D17" s="544"/>
      <c r="E17" s="544">
        <f t="shared" si="2"/>
        <v>9045817</v>
      </c>
    </row>
    <row r="18" spans="1:5">
      <c r="A18" s="545" t="s">
        <v>143</v>
      </c>
      <c r="B18" s="543">
        <v>79307980</v>
      </c>
      <c r="C18" s="543">
        <v>10584251</v>
      </c>
      <c r="D18" s="544"/>
      <c r="E18" s="544">
        <f t="shared" si="2"/>
        <v>89892231</v>
      </c>
    </row>
    <row r="19" spans="1:5">
      <c r="A19" s="542" t="s">
        <v>1021</v>
      </c>
      <c r="B19" s="543">
        <v>20635804</v>
      </c>
      <c r="C19" s="543">
        <v>668988</v>
      </c>
      <c r="D19" s="544">
        <v>84256</v>
      </c>
      <c r="E19" s="544">
        <f t="shared" si="2"/>
        <v>21389048</v>
      </c>
    </row>
    <row r="20" spans="1:5">
      <c r="A20" s="542" t="s">
        <v>513</v>
      </c>
      <c r="B20" s="543">
        <v>466632</v>
      </c>
      <c r="C20" s="543"/>
      <c r="D20" s="544">
        <v>418</v>
      </c>
      <c r="E20" s="544">
        <f t="shared" si="2"/>
        <v>467050</v>
      </c>
    </row>
    <row r="21" spans="1:5">
      <c r="A21" s="546"/>
      <c r="B21" s="9"/>
      <c r="C21" s="9"/>
      <c r="D21" s="547"/>
      <c r="E21" s="547">
        <f t="shared" si="2"/>
        <v>0</v>
      </c>
    </row>
    <row r="22" spans="1:5" ht="14.25" customHeight="1">
      <c r="A22" s="540" t="s">
        <v>1022</v>
      </c>
      <c r="B22" s="541">
        <f t="shared" ref="B22:D22" si="3">B23+B28</f>
        <v>496609487</v>
      </c>
      <c r="C22" s="541">
        <f t="shared" si="3"/>
        <v>14894619</v>
      </c>
      <c r="D22" s="541">
        <f t="shared" si="3"/>
        <v>1199317</v>
      </c>
      <c r="E22" s="541">
        <f t="shared" si="2"/>
        <v>512703423</v>
      </c>
    </row>
    <row r="23" spans="1:5" ht="12" customHeight="1">
      <c r="A23" s="542" t="s">
        <v>1023</v>
      </c>
      <c r="B23" s="544">
        <f t="shared" ref="B23:C23" si="4">SUM(B24:B27)</f>
        <v>473562494</v>
      </c>
      <c r="C23" s="544">
        <f t="shared" si="4"/>
        <v>13803035</v>
      </c>
      <c r="D23" s="544">
        <f>SUM(D24:D27)</f>
        <v>-3155673</v>
      </c>
      <c r="E23" s="544">
        <f t="shared" si="2"/>
        <v>484209856</v>
      </c>
    </row>
    <row r="24" spans="1:5">
      <c r="A24" s="548" t="s">
        <v>1024</v>
      </c>
      <c r="B24" s="543">
        <v>76000000</v>
      </c>
      <c r="C24" s="543">
        <v>10000000</v>
      </c>
      <c r="D24" s="544"/>
      <c r="E24" s="544">
        <f t="shared" si="2"/>
        <v>86000000</v>
      </c>
    </row>
    <row r="25" spans="1:5">
      <c r="A25" s="549" t="s">
        <v>1025</v>
      </c>
      <c r="B25" s="543">
        <v>153510</v>
      </c>
      <c r="C25" s="543">
        <v>498392</v>
      </c>
      <c r="D25" s="544">
        <v>84256</v>
      </c>
      <c r="E25" s="544">
        <f t="shared" si="2"/>
        <v>736158</v>
      </c>
    </row>
    <row r="26" spans="1:5">
      <c r="A26" s="549" t="s">
        <v>1068</v>
      </c>
      <c r="B26" s="543"/>
      <c r="C26" s="543"/>
      <c r="D26" s="544">
        <v>418</v>
      </c>
      <c r="E26" s="544">
        <f t="shared" si="2"/>
        <v>418</v>
      </c>
    </row>
    <row r="27" spans="1:5">
      <c r="A27" s="497" t="s">
        <v>1026</v>
      </c>
      <c r="B27" s="543">
        <v>397408984</v>
      </c>
      <c r="C27" s="543">
        <v>3304643</v>
      </c>
      <c r="D27" s="544">
        <v>-3240347</v>
      </c>
      <c r="E27" s="544">
        <f t="shared" si="2"/>
        <v>397473280</v>
      </c>
    </row>
    <row r="28" spans="1:5">
      <c r="A28" s="542" t="s">
        <v>1027</v>
      </c>
      <c r="B28" s="543">
        <v>23046993</v>
      </c>
      <c r="C28" s="543">
        <v>1091584</v>
      </c>
      <c r="D28" s="544">
        <v>4354990</v>
      </c>
      <c r="E28" s="544">
        <f t="shared" si="2"/>
        <v>28493567</v>
      </c>
    </row>
    <row r="29" spans="1:5">
      <c r="A29" s="542"/>
      <c r="B29" s="9"/>
      <c r="C29" s="9"/>
      <c r="D29" s="547"/>
      <c r="E29" s="547">
        <f t="shared" si="2"/>
        <v>0</v>
      </c>
    </row>
    <row r="30" spans="1:5">
      <c r="A30" s="550" t="s">
        <v>1028</v>
      </c>
      <c r="B30" s="551">
        <f t="shared" ref="B30:D30" si="5">B6-B22</f>
        <v>43492461</v>
      </c>
      <c r="C30" s="551">
        <f t="shared" si="5"/>
        <v>3042543</v>
      </c>
      <c r="D30" s="551">
        <f t="shared" si="5"/>
        <v>6746205</v>
      </c>
      <c r="E30" s="551">
        <f t="shared" si="2"/>
        <v>53281209</v>
      </c>
    </row>
    <row r="31" spans="1:5">
      <c r="A31" s="552"/>
      <c r="B31" s="210"/>
      <c r="C31" s="210"/>
      <c r="D31" s="553"/>
      <c r="E31" s="553">
        <f t="shared" si="2"/>
        <v>0</v>
      </c>
    </row>
    <row r="32" spans="1:5">
      <c r="A32" s="554" t="s">
        <v>769</v>
      </c>
      <c r="B32" s="543">
        <v>45405782</v>
      </c>
      <c r="C32" s="543">
        <v>91295</v>
      </c>
      <c r="D32" s="544">
        <v>720911</v>
      </c>
      <c r="E32" s="544">
        <f t="shared" si="2"/>
        <v>46217988</v>
      </c>
    </row>
    <row r="33" spans="1:5">
      <c r="A33" s="546"/>
      <c r="B33" s="9"/>
      <c r="C33" s="9"/>
      <c r="D33" s="547"/>
      <c r="E33" s="547">
        <f t="shared" si="2"/>
        <v>0</v>
      </c>
    </row>
    <row r="34" spans="1:5">
      <c r="A34" s="550" t="s">
        <v>1029</v>
      </c>
      <c r="B34" s="551">
        <f t="shared" ref="B34:D34" si="6">B30-B32</f>
        <v>-1913321</v>
      </c>
      <c r="C34" s="551">
        <f t="shared" si="6"/>
        <v>2951248</v>
      </c>
      <c r="D34" s="551">
        <f t="shared" si="6"/>
        <v>6025294</v>
      </c>
      <c r="E34" s="551">
        <f t="shared" si="2"/>
        <v>7063221</v>
      </c>
    </row>
    <row r="35" spans="1:5" ht="16.5" thickBot="1">
      <c r="A35" s="555"/>
      <c r="B35" s="556"/>
      <c r="C35" s="556"/>
      <c r="D35" s="557"/>
      <c r="E35" s="557">
        <f t="shared" si="2"/>
        <v>0</v>
      </c>
    </row>
    <row r="36" spans="1:5" ht="16.5" thickTop="1">
      <c r="A36" s="558"/>
      <c r="B36" s="559"/>
      <c r="C36" s="559"/>
      <c r="D36" s="560"/>
      <c r="E36" s="560">
        <f t="shared" si="2"/>
        <v>0</v>
      </c>
    </row>
    <row r="37" spans="1:5" ht="15.75">
      <c r="A37" s="561" t="s">
        <v>1030</v>
      </c>
      <c r="B37" s="559"/>
      <c r="C37" s="559"/>
      <c r="D37" s="560"/>
      <c r="E37" s="560">
        <f t="shared" si="2"/>
        <v>0</v>
      </c>
    </row>
    <row r="38" spans="1:5" ht="15.75">
      <c r="A38" s="561"/>
      <c r="B38" s="559"/>
      <c r="C38" s="559"/>
      <c r="D38" s="560"/>
      <c r="E38" s="560">
        <f t="shared" si="2"/>
        <v>0</v>
      </c>
    </row>
    <row r="39" spans="1:5">
      <c r="A39" s="562" t="s">
        <v>1060</v>
      </c>
      <c r="B39" s="543"/>
      <c r="C39" s="543"/>
      <c r="D39" s="544"/>
      <c r="E39" s="544">
        <f t="shared" si="2"/>
        <v>0</v>
      </c>
    </row>
    <row r="40" spans="1:5">
      <c r="A40" s="562"/>
      <c r="B40" s="543"/>
      <c r="C40" s="543"/>
      <c r="D40" s="544"/>
      <c r="E40" s="544">
        <f t="shared" si="2"/>
        <v>0</v>
      </c>
    </row>
    <row r="41" spans="1:5">
      <c r="A41" s="563" t="s">
        <v>1031</v>
      </c>
      <c r="B41" s="543"/>
      <c r="C41" s="543"/>
      <c r="D41" s="544"/>
      <c r="E41" s="544">
        <f t="shared" si="2"/>
        <v>0</v>
      </c>
    </row>
    <row r="42" spans="1:5">
      <c r="A42" s="564" t="s">
        <v>1032</v>
      </c>
      <c r="B42" s="543">
        <v>65211974</v>
      </c>
      <c r="C42" s="543">
        <v>3166337</v>
      </c>
      <c r="D42" s="544">
        <v>-1005720</v>
      </c>
      <c r="E42" s="544">
        <f t="shared" si="2"/>
        <v>67372591</v>
      </c>
    </row>
    <row r="43" spans="1:5">
      <c r="A43" s="564" t="s">
        <v>769</v>
      </c>
      <c r="B43" s="543">
        <v>-45405782</v>
      </c>
      <c r="C43" s="543">
        <v>-91295</v>
      </c>
      <c r="D43" s="544">
        <f>-D32</f>
        <v>-720911</v>
      </c>
      <c r="E43" s="544">
        <f t="shared" si="2"/>
        <v>-46217988</v>
      </c>
    </row>
    <row r="44" spans="1:5">
      <c r="A44" s="564" t="s">
        <v>1033</v>
      </c>
      <c r="B44" s="543">
        <v>-1498132</v>
      </c>
      <c r="C44" s="543">
        <v>-6800</v>
      </c>
      <c r="D44" s="544">
        <f>D14</f>
        <v>0</v>
      </c>
      <c r="E44" s="544">
        <f t="shared" si="2"/>
        <v>-1504932</v>
      </c>
    </row>
    <row r="45" spans="1:5">
      <c r="A45" s="565" t="s">
        <v>1034</v>
      </c>
      <c r="B45" s="541">
        <f t="shared" ref="B45" si="7">SUM(B42:B44)</f>
        <v>18308060</v>
      </c>
      <c r="C45" s="541">
        <f t="shared" ref="C45:D45" si="8">SUM(C42:C44)</f>
        <v>3068242</v>
      </c>
      <c r="D45" s="541">
        <f t="shared" si="8"/>
        <v>-1726631</v>
      </c>
      <c r="E45" s="541">
        <f t="shared" si="2"/>
        <v>19649671</v>
      </c>
    </row>
    <row r="46" spans="1:5">
      <c r="A46" s="566"/>
      <c r="B46" s="543"/>
      <c r="C46" s="543"/>
      <c r="D46" s="544"/>
      <c r="E46" s="544">
        <f t="shared" si="2"/>
        <v>0</v>
      </c>
    </row>
    <row r="47" spans="1:5">
      <c r="A47" s="563" t="s">
        <v>1035</v>
      </c>
      <c r="B47" s="543"/>
      <c r="C47" s="543"/>
      <c r="D47" s="544"/>
      <c r="E47" s="544">
        <f t="shared" si="2"/>
        <v>0</v>
      </c>
    </row>
    <row r="48" spans="1:5">
      <c r="A48" s="564" t="s">
        <v>1036</v>
      </c>
      <c r="B48" s="544">
        <f t="shared" ref="B48:C48" si="9">B49</f>
        <v>-9093006</v>
      </c>
      <c r="C48" s="544">
        <f t="shared" si="9"/>
        <v>-2213557</v>
      </c>
      <c r="D48" s="544">
        <f>D49</f>
        <v>6751925</v>
      </c>
      <c r="E48" s="544">
        <f t="shared" si="2"/>
        <v>-4554638</v>
      </c>
    </row>
    <row r="49" spans="1:5" hidden="1">
      <c r="A49" s="567" t="s">
        <v>1037</v>
      </c>
      <c r="B49" s="568">
        <v>-9093006</v>
      </c>
      <c r="C49" s="568">
        <v>-2213557</v>
      </c>
      <c r="D49" s="569">
        <f>2146767-6000+125000+38500+4501720+1207532-55000-121297-21297-22000-7000-35000-1000000</f>
        <v>6751925</v>
      </c>
      <c r="E49" s="569">
        <f t="shared" si="2"/>
        <v>-4554638</v>
      </c>
    </row>
    <row r="50" spans="1:5" hidden="1">
      <c r="A50" s="567" t="s">
        <v>1069</v>
      </c>
      <c r="B50" s="568"/>
      <c r="C50" s="568"/>
      <c r="D50" s="569"/>
      <c r="E50" s="569">
        <f t="shared" si="2"/>
        <v>0</v>
      </c>
    </row>
    <row r="51" spans="1:5">
      <c r="A51" s="563" t="s">
        <v>1038</v>
      </c>
      <c r="B51" s="543"/>
      <c r="C51" s="543"/>
      <c r="D51" s="570"/>
      <c r="E51" s="570">
        <f t="shared" si="2"/>
        <v>0</v>
      </c>
    </row>
    <row r="52" spans="1:5">
      <c r="A52" s="564" t="s">
        <v>1039</v>
      </c>
      <c r="B52" s="543">
        <v>260000</v>
      </c>
      <c r="C52" s="543">
        <v>4999990</v>
      </c>
      <c r="D52" s="570">
        <v>1000000</v>
      </c>
      <c r="E52" s="570">
        <f t="shared" si="2"/>
        <v>6259990</v>
      </c>
    </row>
    <row r="53" spans="1:5">
      <c r="A53" s="565" t="s">
        <v>1040</v>
      </c>
      <c r="B53" s="541">
        <f t="shared" ref="B53:D53" si="10">B48+B52</f>
        <v>-8833006</v>
      </c>
      <c r="C53" s="541">
        <f t="shared" si="10"/>
        <v>2786433</v>
      </c>
      <c r="D53" s="541">
        <f t="shared" si="10"/>
        <v>7751925</v>
      </c>
      <c r="E53" s="541">
        <f t="shared" si="2"/>
        <v>1705352</v>
      </c>
    </row>
    <row r="54" spans="1:5">
      <c r="A54" s="565"/>
      <c r="B54" s="571"/>
      <c r="C54" s="572"/>
      <c r="D54" s="573"/>
      <c r="E54" s="573">
        <f t="shared" si="2"/>
        <v>0</v>
      </c>
    </row>
    <row r="55" spans="1:5">
      <c r="A55" s="565" t="s">
        <v>1041</v>
      </c>
      <c r="B55" s="571"/>
      <c r="C55" s="571">
        <v>-4999990</v>
      </c>
      <c r="D55" s="541"/>
      <c r="E55" s="541">
        <f t="shared" si="2"/>
        <v>-4999990</v>
      </c>
    </row>
    <row r="56" spans="1:5">
      <c r="A56" s="574"/>
      <c r="B56" s="543"/>
      <c r="C56" s="543"/>
      <c r="D56" s="544"/>
      <c r="E56" s="544">
        <f t="shared" si="2"/>
        <v>0</v>
      </c>
    </row>
    <row r="57" spans="1:5" ht="15.75">
      <c r="A57" s="561"/>
      <c r="B57" s="559"/>
      <c r="C57" s="559"/>
      <c r="D57" s="560"/>
      <c r="E57" s="560">
        <f t="shared" si="2"/>
        <v>0</v>
      </c>
    </row>
    <row r="58" spans="1:5">
      <c r="A58" s="562" t="s">
        <v>1042</v>
      </c>
      <c r="B58" s="543"/>
      <c r="C58" s="543"/>
      <c r="D58" s="544"/>
      <c r="E58" s="544">
        <f t="shared" si="2"/>
        <v>0</v>
      </c>
    </row>
    <row r="59" spans="1:5">
      <c r="A59" s="562"/>
      <c r="B59" s="543"/>
      <c r="C59" s="543"/>
      <c r="D59" s="544"/>
      <c r="E59" s="544">
        <f t="shared" si="2"/>
        <v>0</v>
      </c>
    </row>
    <row r="60" spans="1:5">
      <c r="A60" s="565" t="s">
        <v>1043</v>
      </c>
      <c r="B60" s="541">
        <f t="shared" ref="B60:C60" si="11">B61-B62-B63</f>
        <v>11388375</v>
      </c>
      <c r="C60" s="541">
        <f t="shared" si="11"/>
        <v>0</v>
      </c>
      <c r="D60" s="541">
        <f>D61-D62-D63</f>
        <v>0</v>
      </c>
      <c r="E60" s="541">
        <f t="shared" si="2"/>
        <v>11388375</v>
      </c>
    </row>
    <row r="61" spans="1:5">
      <c r="A61" s="566" t="s">
        <v>1044</v>
      </c>
      <c r="B61" s="543">
        <v>20000000</v>
      </c>
      <c r="C61" s="543"/>
      <c r="D61" s="544"/>
      <c r="E61" s="544">
        <f t="shared" si="2"/>
        <v>20000000</v>
      </c>
    </row>
    <row r="62" spans="1:5">
      <c r="A62" s="566" t="s">
        <v>1045</v>
      </c>
      <c r="B62" s="543">
        <v>7569265</v>
      </c>
      <c r="C62" s="543"/>
      <c r="D62" s="544"/>
      <c r="E62" s="544">
        <f t="shared" si="2"/>
        <v>7569265</v>
      </c>
    </row>
    <row r="63" spans="1:5">
      <c r="A63" s="564" t="s">
        <v>1046</v>
      </c>
      <c r="B63" s="543">
        <v>1042360</v>
      </c>
      <c r="C63" s="543"/>
      <c r="D63" s="544"/>
      <c r="E63" s="544">
        <f t="shared" si="2"/>
        <v>1042360</v>
      </c>
    </row>
    <row r="64" spans="1:5">
      <c r="A64" s="565"/>
      <c r="B64" s="571"/>
      <c r="C64" s="571"/>
      <c r="D64" s="541"/>
      <c r="E64" s="541">
        <f t="shared" si="2"/>
        <v>0</v>
      </c>
    </row>
    <row r="65" spans="1:5">
      <c r="A65" s="565" t="s">
        <v>1047</v>
      </c>
      <c r="B65" s="571"/>
      <c r="C65" s="571">
        <v>-2096563</v>
      </c>
      <c r="D65" s="541"/>
      <c r="E65" s="541">
        <f t="shared" si="2"/>
        <v>-2096563</v>
      </c>
    </row>
    <row r="66" spans="1:5">
      <c r="A66" s="575"/>
      <c r="B66" s="571"/>
      <c r="C66" s="571"/>
      <c r="D66" s="541"/>
      <c r="E66" s="541">
        <f t="shared" si="2"/>
        <v>0</v>
      </c>
    </row>
    <row r="67" spans="1:5">
      <c r="A67" s="575"/>
      <c r="B67" s="571"/>
      <c r="C67" s="571"/>
      <c r="D67" s="541"/>
      <c r="E67" s="541">
        <f t="shared" si="2"/>
        <v>0</v>
      </c>
    </row>
    <row r="68" spans="1:5">
      <c r="A68" s="562" t="s">
        <v>1048</v>
      </c>
      <c r="B68" s="576">
        <f>B45+B53+B55-B60-B65</f>
        <v>-1913321</v>
      </c>
      <c r="C68" s="576">
        <f>C45+C53+C55-C60-C65</f>
        <v>2951248</v>
      </c>
      <c r="D68" s="576">
        <f>D45+D53+D55-D60-D65</f>
        <v>6025294</v>
      </c>
      <c r="E68" s="576">
        <f t="shared" si="2"/>
        <v>7063221</v>
      </c>
    </row>
    <row r="69" spans="1:5">
      <c r="A69" s="575"/>
      <c r="B69" s="571"/>
      <c r="C69" s="571"/>
      <c r="D69" s="541"/>
      <c r="E69" s="541">
        <f t="shared" si="2"/>
        <v>0</v>
      </c>
    </row>
    <row r="70" spans="1:5">
      <c r="A70" s="546" t="s">
        <v>1049</v>
      </c>
      <c r="B70" s="547">
        <f>B6-B44+B61-B49-B55</f>
        <v>570693086</v>
      </c>
      <c r="C70" s="547">
        <f>C6-C44+C61-C49-C55</f>
        <v>25157509</v>
      </c>
      <c r="D70" s="547">
        <f>D6-D44+D61-D49-D55</f>
        <v>1193597</v>
      </c>
      <c r="E70" s="547">
        <f t="shared" si="2"/>
        <v>597044192</v>
      </c>
    </row>
    <row r="71" spans="1:5">
      <c r="A71" s="577" t="s">
        <v>1050</v>
      </c>
      <c r="B71" s="547">
        <f>B22+B42+B62+B63+B52-B65</f>
        <v>570693086</v>
      </c>
      <c r="C71" s="547">
        <f>C22+C42+C62+C63+C52-C65</f>
        <v>25157509</v>
      </c>
      <c r="D71" s="547">
        <f>D22+D42+D62+D63+D52-D65</f>
        <v>1193597</v>
      </c>
      <c r="E71" s="547">
        <f t="shared" ref="E71" si="12">SUM(B71:D71)</f>
        <v>597044192</v>
      </c>
    </row>
    <row r="72" spans="1:5">
      <c r="A72" s="500"/>
      <c r="B72" s="501"/>
      <c r="C72" s="501"/>
      <c r="D72" s="501"/>
      <c r="E72" s="501"/>
    </row>
    <row r="73" spans="1:5">
      <c r="A73" s="500"/>
      <c r="B73" s="501"/>
      <c r="C73" s="501"/>
      <c r="D73" s="501"/>
      <c r="E73" s="501"/>
    </row>
    <row r="74" spans="1:5">
      <c r="A74" s="500"/>
      <c r="B74" s="501"/>
      <c r="C74" s="501"/>
      <c r="D74" s="501"/>
      <c r="E74" s="501"/>
    </row>
    <row r="75" spans="1:5">
      <c r="A75" s="361"/>
      <c r="B75" s="501"/>
      <c r="C75" s="501"/>
      <c r="D75" s="501"/>
      <c r="E75" s="501"/>
    </row>
    <row r="76" spans="1:5">
      <c r="A76" s="361"/>
      <c r="B76" s="501"/>
      <c r="C76" s="501"/>
      <c r="D76" s="501"/>
      <c r="E76" s="501"/>
    </row>
    <row r="77" spans="1:5">
      <c r="A77" s="502"/>
      <c r="B77" s="501"/>
      <c r="C77" s="501"/>
      <c r="D77" s="501"/>
      <c r="E77" s="501"/>
    </row>
    <row r="78" spans="1:5">
      <c r="A78" s="502"/>
      <c r="B78" s="501"/>
      <c r="C78" s="501"/>
      <c r="D78" s="501"/>
      <c r="E78" s="501"/>
    </row>
    <row r="79" spans="1:5">
      <c r="A79" s="502"/>
      <c r="B79" s="501"/>
      <c r="C79" s="501"/>
      <c r="D79" s="501"/>
      <c r="E79" s="501"/>
    </row>
    <row r="80" spans="1:5">
      <c r="A80" s="502"/>
      <c r="B80" s="501"/>
      <c r="C80" s="501"/>
      <c r="D80" s="501"/>
      <c r="E80" s="501"/>
    </row>
    <row r="81" spans="1:5">
      <c r="A81" s="502"/>
      <c r="B81" s="501"/>
      <c r="C81" s="501"/>
      <c r="D81" s="501"/>
      <c r="E81" s="501"/>
    </row>
    <row r="82" spans="1:5">
      <c r="A82" s="502"/>
      <c r="B82" s="501"/>
      <c r="C82" s="501"/>
      <c r="D82" s="501"/>
      <c r="E82" s="501"/>
    </row>
    <row r="83" spans="1:5">
      <c r="A83" s="502"/>
      <c r="B83" s="501"/>
      <c r="C83" s="501"/>
      <c r="D83" s="501"/>
      <c r="E83" s="501"/>
    </row>
    <row r="84" spans="1:5">
      <c r="A84" s="502"/>
      <c r="B84" s="501"/>
      <c r="C84" s="501"/>
      <c r="D84" s="501"/>
      <c r="E84" s="501"/>
    </row>
    <row r="85" spans="1:5">
      <c r="A85" s="502"/>
      <c r="B85" s="501"/>
      <c r="C85" s="501"/>
      <c r="D85" s="501"/>
      <c r="E85" s="501"/>
    </row>
    <row r="86" spans="1:5">
      <c r="A86" s="502"/>
      <c r="B86" s="501"/>
      <c r="C86" s="501"/>
      <c r="D86" s="501"/>
      <c r="E86" s="501"/>
    </row>
    <row r="87" spans="1:5">
      <c r="A87" s="502"/>
      <c r="B87" s="501"/>
      <c r="C87" s="501"/>
      <c r="D87" s="501"/>
      <c r="E87" s="501"/>
    </row>
    <row r="88" spans="1:5">
      <c r="A88" s="502"/>
      <c r="B88" s="501"/>
      <c r="C88" s="501"/>
      <c r="D88" s="501"/>
      <c r="E88" s="501"/>
    </row>
    <row r="89" spans="1:5">
      <c r="A89" s="502"/>
      <c r="B89" s="501"/>
      <c r="C89" s="501"/>
      <c r="D89" s="501"/>
      <c r="E89" s="501"/>
    </row>
    <row r="90" spans="1:5">
      <c r="A90" s="502"/>
      <c r="B90" s="501"/>
      <c r="C90" s="501"/>
      <c r="D90" s="501"/>
      <c r="E90" s="501"/>
    </row>
    <row r="91" spans="1:5">
      <c r="A91" s="361"/>
      <c r="B91" s="503"/>
      <c r="C91" s="503"/>
      <c r="D91" s="503"/>
      <c r="E91" s="503"/>
    </row>
    <row r="92" spans="1:5">
      <c r="A92" s="504"/>
      <c r="B92" s="505"/>
    </row>
    <row r="93" spans="1:5">
      <c r="A93" s="502"/>
      <c r="B93" s="506"/>
    </row>
    <row r="94" spans="1:5">
      <c r="A94" s="502"/>
      <c r="B94" s="506"/>
    </row>
    <row r="95" spans="1:5">
      <c r="A95" s="502"/>
      <c r="B95" s="506"/>
    </row>
    <row r="96" spans="1:5">
      <c r="A96" s="502"/>
      <c r="B96" s="506"/>
    </row>
    <row r="97" spans="1:2">
      <c r="A97" s="502"/>
      <c r="B97" s="506"/>
    </row>
    <row r="98" spans="1:2">
      <c r="A98" s="502"/>
      <c r="B98" s="506"/>
    </row>
    <row r="99" spans="1:2">
      <c r="A99" s="502"/>
    </row>
    <row r="100" spans="1:2">
      <c r="A100" s="502"/>
    </row>
    <row r="101" spans="1:2">
      <c r="A101" s="502"/>
    </row>
    <row r="102" spans="1:2">
      <c r="A102" s="361"/>
    </row>
    <row r="103" spans="1:2">
      <c r="A103" s="361"/>
    </row>
    <row r="104" spans="1:2">
      <c r="A104" s="504"/>
    </row>
    <row r="105" spans="1:2">
      <c r="A105" s="502"/>
    </row>
    <row r="106" spans="1:2">
      <c r="A106" s="502"/>
    </row>
    <row r="107" spans="1:2">
      <c r="A107" s="502"/>
    </row>
    <row r="108" spans="1:2">
      <c r="A108" s="502"/>
    </row>
    <row r="109" spans="1:2">
      <c r="A109" s="361"/>
    </row>
    <row r="110" spans="1:2">
      <c r="A110" s="507"/>
    </row>
    <row r="111" spans="1:2">
      <c r="A111" s="502"/>
    </row>
    <row r="112" spans="1:2">
      <c r="A112" s="502"/>
    </row>
    <row r="113" spans="1:1">
      <c r="A113" s="361"/>
    </row>
    <row r="114" spans="1:1">
      <c r="A114" s="504"/>
    </row>
    <row r="115" spans="1:1">
      <c r="A115" s="502"/>
    </row>
    <row r="116" spans="1:1">
      <c r="A116" s="502"/>
    </row>
    <row r="117" spans="1:1">
      <c r="A117" s="502"/>
    </row>
    <row r="118" spans="1:1">
      <c r="A118" s="502"/>
    </row>
    <row r="119" spans="1:1">
      <c r="A119" s="361"/>
    </row>
    <row r="120" spans="1:1">
      <c r="A120" s="508"/>
    </row>
    <row r="121" spans="1:1">
      <c r="A121" s="361"/>
    </row>
    <row r="122" spans="1:1">
      <c r="A122" s="504"/>
    </row>
    <row r="123" spans="1:1">
      <c r="A123" s="502"/>
    </row>
    <row r="124" spans="1:1">
      <c r="A124" s="502"/>
    </row>
    <row r="125" spans="1:1">
      <c r="A125" s="502"/>
    </row>
    <row r="126" spans="1:1">
      <c r="A126" s="502"/>
    </row>
    <row r="127" spans="1:1">
      <c r="A127" s="502"/>
    </row>
    <row r="128" spans="1:1">
      <c r="A128" s="502"/>
    </row>
    <row r="129" spans="1:1">
      <c r="A129" s="502"/>
    </row>
    <row r="130" spans="1:1">
      <c r="A130" s="502"/>
    </row>
    <row r="133" spans="1:1">
      <c r="A133" s="361"/>
    </row>
    <row r="134" spans="1:1">
      <c r="A134" s="504"/>
    </row>
    <row r="135" spans="1:1">
      <c r="A135" s="502"/>
    </row>
    <row r="136" spans="1:1">
      <c r="A136" s="502"/>
    </row>
    <row r="139" spans="1:1">
      <c r="A139" s="504"/>
    </row>
    <row r="145" spans="1:1">
      <c r="A145" s="504"/>
    </row>
  </sheetData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Zeros="0" zoomScaleNormal="10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RowHeight="12.75"/>
  <cols>
    <col min="1" max="1" width="36" style="356" customWidth="1"/>
    <col min="2" max="3" width="11.42578125" style="356" hidden="1" customWidth="1"/>
    <col min="4" max="4" width="11.42578125" style="356" customWidth="1"/>
    <col min="5" max="5" width="11.140625" style="356" hidden="1" customWidth="1"/>
    <col min="6" max="6" width="10.140625" style="356" hidden="1" customWidth="1"/>
    <col min="7" max="10" width="11.140625" style="356" hidden="1" customWidth="1"/>
    <col min="11" max="11" width="11.42578125" style="356" customWidth="1"/>
    <col min="12" max="16384" width="9.140625" style="356"/>
  </cols>
  <sheetData>
    <row r="1" spans="1:11" ht="15">
      <c r="A1" s="355" t="s">
        <v>1051</v>
      </c>
      <c r="B1" s="355"/>
      <c r="C1" s="355"/>
    </row>
    <row r="2" spans="1:11">
      <c r="K2" s="358" t="s">
        <v>134</v>
      </c>
    </row>
    <row r="3" spans="1:11" ht="25.5">
      <c r="A3" s="509" t="s">
        <v>1052</v>
      </c>
      <c r="B3" s="510" t="s">
        <v>144</v>
      </c>
      <c r="C3" s="510" t="s">
        <v>767</v>
      </c>
      <c r="D3" s="471" t="s">
        <v>702</v>
      </c>
      <c r="E3" s="510" t="s">
        <v>144</v>
      </c>
      <c r="F3" s="510" t="s">
        <v>767</v>
      </c>
      <c r="G3" s="471" t="s">
        <v>700</v>
      </c>
      <c r="H3" s="510" t="s">
        <v>144</v>
      </c>
      <c r="I3" s="510" t="s">
        <v>767</v>
      </c>
      <c r="J3" s="471" t="s">
        <v>1067</v>
      </c>
      <c r="K3" s="471" t="s">
        <v>701</v>
      </c>
    </row>
    <row r="4" spans="1:11" ht="7.5" customHeight="1">
      <c r="A4" s="281"/>
      <c r="B4" s="281"/>
      <c r="C4" s="281"/>
      <c r="D4" s="281"/>
      <c r="K4" s="281"/>
    </row>
    <row r="5" spans="1:11">
      <c r="A5" s="500" t="s">
        <v>1053</v>
      </c>
      <c r="B5" s="498">
        <f>B7+B11</f>
        <v>365135000</v>
      </c>
      <c r="C5" s="498"/>
      <c r="D5" s="498">
        <f>B5+C5</f>
        <v>365135000</v>
      </c>
      <c r="E5" s="498">
        <f>E7+E11</f>
        <v>6180000</v>
      </c>
      <c r="F5" s="498"/>
      <c r="G5" s="498">
        <f>E5+F5</f>
        <v>6180000</v>
      </c>
      <c r="H5" s="498">
        <f>H7+H11</f>
        <v>6173000</v>
      </c>
      <c r="I5" s="498"/>
      <c r="J5" s="498">
        <f>H5+I5</f>
        <v>6173000</v>
      </c>
      <c r="K5" s="498">
        <f>D5+G5</f>
        <v>371315000</v>
      </c>
    </row>
    <row r="6" spans="1:11">
      <c r="A6" s="281"/>
      <c r="B6" s="511"/>
      <c r="C6" s="511"/>
      <c r="D6" s="511"/>
      <c r="E6" s="511"/>
      <c r="F6" s="511"/>
      <c r="G6" s="511">
        <f>E6+F6</f>
        <v>0</v>
      </c>
      <c r="H6" s="511"/>
      <c r="I6" s="511"/>
      <c r="J6" s="511">
        <f t="shared" ref="J6:J51" si="0">H6+I6</f>
        <v>0</v>
      </c>
      <c r="K6" s="511">
        <f>D6+G6</f>
        <v>0</v>
      </c>
    </row>
    <row r="7" spans="1:11">
      <c r="A7" s="499" t="s">
        <v>135</v>
      </c>
      <c r="B7" s="498">
        <f>B8+B9</f>
        <v>354100000</v>
      </c>
      <c r="C7" s="512"/>
      <c r="D7" s="498">
        <f>B7+C7</f>
        <v>354100000</v>
      </c>
      <c r="E7" s="498">
        <f>E8+E9</f>
        <v>6000000</v>
      </c>
      <c r="F7" s="512"/>
      <c r="G7" s="498">
        <f>E7+F7</f>
        <v>6000000</v>
      </c>
      <c r="H7" s="498">
        <f>H8+H9</f>
        <v>6000000</v>
      </c>
      <c r="I7" s="498"/>
      <c r="J7" s="498">
        <f t="shared" si="0"/>
        <v>6000000</v>
      </c>
      <c r="K7" s="498">
        <f>D7+G7+J7</f>
        <v>366100000</v>
      </c>
    </row>
    <row r="8" spans="1:11">
      <c r="A8" s="513" t="s">
        <v>145</v>
      </c>
      <c r="B8" s="360">
        <f>'[1]2.1 LK TULUD'!B5</f>
        <v>326300000</v>
      </c>
      <c r="C8" s="514"/>
      <c r="D8" s="360">
        <f>B8+C8</f>
        <v>326300000</v>
      </c>
      <c r="E8" s="360">
        <v>6000000</v>
      </c>
      <c r="F8" s="514"/>
      <c r="G8" s="360">
        <f>E8+F8</f>
        <v>6000000</v>
      </c>
      <c r="H8" s="360">
        <v>6000000</v>
      </c>
      <c r="I8" s="360"/>
      <c r="J8" s="360">
        <f t="shared" si="0"/>
        <v>6000000</v>
      </c>
      <c r="K8" s="360">
        <f t="shared" ref="K8:K51" si="1">D8+G8+J8</f>
        <v>338300000</v>
      </c>
    </row>
    <row r="9" spans="1:11">
      <c r="A9" s="513" t="s">
        <v>146</v>
      </c>
      <c r="B9" s="360">
        <f>'[1]2.1 LK TULUD'!B8</f>
        <v>27800000</v>
      </c>
      <c r="C9" s="514"/>
      <c r="D9" s="360">
        <f>B9+C9</f>
        <v>27800000</v>
      </c>
      <c r="E9" s="360"/>
      <c r="F9" s="514"/>
      <c r="G9" s="360">
        <f>E9+F9</f>
        <v>0</v>
      </c>
      <c r="H9" s="360"/>
      <c r="I9" s="360"/>
      <c r="J9" s="360">
        <f t="shared" si="0"/>
        <v>0</v>
      </c>
      <c r="K9" s="360">
        <f t="shared" si="1"/>
        <v>27800000</v>
      </c>
    </row>
    <row r="10" spans="1:11" ht="7.5" customHeight="1">
      <c r="A10" s="486"/>
      <c r="B10" s="360"/>
      <c r="C10" s="515"/>
      <c r="D10" s="360"/>
      <c r="E10" s="360"/>
      <c r="F10" s="515"/>
      <c r="G10" s="360">
        <f>E10+F10</f>
        <v>0</v>
      </c>
      <c r="H10" s="360"/>
      <c r="I10" s="360"/>
      <c r="J10" s="360">
        <f t="shared" si="0"/>
        <v>0</v>
      </c>
      <c r="K10" s="360">
        <f t="shared" si="1"/>
        <v>0</v>
      </c>
    </row>
    <row r="11" spans="1:11">
      <c r="A11" s="499" t="s">
        <v>136</v>
      </c>
      <c r="B11" s="498">
        <f>SUM(B12:B14)</f>
        <v>11035000</v>
      </c>
      <c r="C11" s="512"/>
      <c r="D11" s="498">
        <f>B11+C11</f>
        <v>11035000</v>
      </c>
      <c r="E11" s="498">
        <f>SUM(E12:E14)</f>
        <v>180000</v>
      </c>
      <c r="F11" s="512"/>
      <c r="G11" s="498">
        <f>E11+F11</f>
        <v>180000</v>
      </c>
      <c r="H11" s="498">
        <f>SUM(H12:H14)</f>
        <v>173000</v>
      </c>
      <c r="I11" s="498"/>
      <c r="J11" s="498">
        <f t="shared" si="0"/>
        <v>173000</v>
      </c>
      <c r="K11" s="498">
        <f t="shared" si="1"/>
        <v>11388000</v>
      </c>
    </row>
    <row r="12" spans="1:11" ht="12.75" customHeight="1">
      <c r="A12" s="513" t="s">
        <v>147</v>
      </c>
      <c r="B12" s="360">
        <f>'[1]2.1 LK TULUD'!B12</f>
        <v>3285000</v>
      </c>
      <c r="C12" s="514"/>
      <c r="D12" s="360">
        <f>B12+C12</f>
        <v>3285000</v>
      </c>
      <c r="E12" s="360">
        <v>180000</v>
      </c>
      <c r="F12" s="514"/>
      <c r="G12" s="360">
        <f>E12+F12</f>
        <v>180000</v>
      </c>
      <c r="H12" s="360">
        <v>210000</v>
      </c>
      <c r="I12" s="360"/>
      <c r="J12" s="360">
        <f t="shared" si="0"/>
        <v>210000</v>
      </c>
      <c r="K12" s="360">
        <f t="shared" si="1"/>
        <v>3675000</v>
      </c>
    </row>
    <row r="13" spans="1:11" ht="12.75" customHeight="1">
      <c r="A13" s="513" t="s">
        <v>491</v>
      </c>
      <c r="B13" s="360">
        <f>'[1]2.1 LK TULUD'!B15</f>
        <v>900000</v>
      </c>
      <c r="C13" s="514"/>
      <c r="D13" s="360">
        <f>B13+C13</f>
        <v>900000</v>
      </c>
      <c r="E13" s="360"/>
      <c r="F13" s="514"/>
      <c r="G13" s="360">
        <f>E13+F13</f>
        <v>0</v>
      </c>
      <c r="H13" s="360">
        <v>100000</v>
      </c>
      <c r="I13" s="360"/>
      <c r="J13" s="360">
        <f t="shared" si="0"/>
        <v>100000</v>
      </c>
      <c r="K13" s="360">
        <f t="shared" si="1"/>
        <v>1000000</v>
      </c>
    </row>
    <row r="14" spans="1:11">
      <c r="A14" s="513" t="s">
        <v>148</v>
      </c>
      <c r="B14" s="360">
        <f>'[1]2.1 LK TULUD'!B18</f>
        <v>6850000</v>
      </c>
      <c r="C14" s="514"/>
      <c r="D14" s="360">
        <f>B14+C14</f>
        <v>6850000</v>
      </c>
      <c r="E14" s="360"/>
      <c r="F14" s="514"/>
      <c r="G14" s="360">
        <f>E14+F14</f>
        <v>0</v>
      </c>
      <c r="H14" s="360">
        <v>-137000</v>
      </c>
      <c r="I14" s="360"/>
      <c r="J14" s="360">
        <f t="shared" si="0"/>
        <v>-137000</v>
      </c>
      <c r="K14" s="360">
        <f t="shared" si="1"/>
        <v>6713000</v>
      </c>
    </row>
    <row r="15" spans="1:11" ht="6.75" customHeight="1">
      <c r="A15" s="516"/>
      <c r="B15" s="360"/>
      <c r="C15" s="517"/>
      <c r="D15" s="360"/>
      <c r="E15" s="360"/>
      <c r="F15" s="517"/>
      <c r="G15" s="360">
        <f>E15+F15</f>
        <v>0</v>
      </c>
      <c r="H15" s="360"/>
      <c r="I15" s="360"/>
      <c r="J15" s="360">
        <f t="shared" si="0"/>
        <v>0</v>
      </c>
      <c r="K15" s="360">
        <f t="shared" si="1"/>
        <v>0</v>
      </c>
    </row>
    <row r="16" spans="1:11" ht="13.5" customHeight="1">
      <c r="A16" s="500" t="s">
        <v>137</v>
      </c>
      <c r="B16" s="498">
        <f>'[1]2.1 LK TULUD'!B21</f>
        <v>559000</v>
      </c>
      <c r="C16" s="498"/>
      <c r="D16" s="498">
        <f>B16+C16</f>
        <v>559000</v>
      </c>
      <c r="E16" s="498"/>
      <c r="F16" s="498"/>
      <c r="G16" s="498">
        <f>E16+F16</f>
        <v>0</v>
      </c>
      <c r="H16" s="498">
        <v>40790</v>
      </c>
      <c r="I16" s="498"/>
      <c r="J16" s="498">
        <f t="shared" si="0"/>
        <v>40790</v>
      </c>
      <c r="K16" s="498">
        <f t="shared" si="1"/>
        <v>599790</v>
      </c>
    </row>
    <row r="17" spans="1:11" ht="6.75" customHeight="1">
      <c r="A17" s="518"/>
      <c r="B17" s="360"/>
      <c r="C17" s="519"/>
      <c r="D17" s="360"/>
      <c r="E17" s="360"/>
      <c r="F17" s="519"/>
      <c r="G17" s="360">
        <f>E17+F17</f>
        <v>0</v>
      </c>
      <c r="H17" s="360"/>
      <c r="I17" s="360"/>
      <c r="J17" s="360">
        <f t="shared" si="0"/>
        <v>0</v>
      </c>
      <c r="K17" s="360">
        <f t="shared" si="1"/>
        <v>0</v>
      </c>
    </row>
    <row r="18" spans="1:11">
      <c r="A18" s="500" t="s">
        <v>1018</v>
      </c>
      <c r="B18" s="498">
        <f>SUM(B19:B22)</f>
        <v>631999</v>
      </c>
      <c r="C18" s="498">
        <f>SUM(C19:C22)</f>
        <v>61853515</v>
      </c>
      <c r="D18" s="498">
        <f>B18+C18</f>
        <v>62485514</v>
      </c>
      <c r="E18" s="498">
        <f>SUM(E19:E22)</f>
        <v>92512</v>
      </c>
      <c r="F18" s="498">
        <f>SUM(F19:F22)</f>
        <v>-63443</v>
      </c>
      <c r="G18" s="498">
        <f>E18+F18</f>
        <v>29069</v>
      </c>
      <c r="H18" s="498">
        <f t="shared" ref="H18:I18" si="2">SUM(H19:H22)</f>
        <v>71437</v>
      </c>
      <c r="I18" s="498">
        <f t="shared" si="2"/>
        <v>1325417</v>
      </c>
      <c r="J18" s="498">
        <f t="shared" si="0"/>
        <v>1396854</v>
      </c>
      <c r="K18" s="498">
        <f t="shared" si="1"/>
        <v>63911437</v>
      </c>
    </row>
    <row r="19" spans="1:11">
      <c r="A19" s="487" t="s">
        <v>131</v>
      </c>
      <c r="B19" s="360"/>
      <c r="C19" s="360">
        <f>[1]Sheet2!B2</f>
        <v>47508162</v>
      </c>
      <c r="D19" s="360">
        <f>B19+C19</f>
        <v>47508162</v>
      </c>
      <c r="E19" s="360"/>
      <c r="F19" s="360">
        <v>117022</v>
      </c>
      <c r="G19" s="360">
        <f>E19+F19</f>
        <v>117022</v>
      </c>
      <c r="H19" s="360"/>
      <c r="I19" s="360">
        <v>969094</v>
      </c>
      <c r="J19" s="360">
        <f t="shared" si="0"/>
        <v>969094</v>
      </c>
      <c r="K19" s="360">
        <f t="shared" si="1"/>
        <v>48594278</v>
      </c>
    </row>
    <row r="20" spans="1:11">
      <c r="A20" s="487" t="s">
        <v>271</v>
      </c>
      <c r="B20" s="360"/>
      <c r="C20" s="360">
        <f>[1]Sheet2!B16</f>
        <v>8199980</v>
      </c>
      <c r="D20" s="360">
        <f>B20+C20</f>
        <v>8199980</v>
      </c>
      <c r="E20" s="360"/>
      <c r="F20" s="360">
        <v>36458</v>
      </c>
      <c r="G20" s="360">
        <f>E20+F20</f>
        <v>36458</v>
      </c>
      <c r="H20" s="360"/>
      <c r="I20" s="360">
        <v>-21902</v>
      </c>
      <c r="J20" s="360">
        <f t="shared" si="0"/>
        <v>-21902</v>
      </c>
      <c r="K20" s="360">
        <f t="shared" si="1"/>
        <v>8214536</v>
      </c>
    </row>
    <row r="21" spans="1:11">
      <c r="A21" s="487" t="s">
        <v>311</v>
      </c>
      <c r="B21" s="360">
        <f>'[1]2.1 LK TULUD'!B26</f>
        <v>631999</v>
      </c>
      <c r="C21" s="360">
        <f>[1]Sheet2!B15</f>
        <v>2555237</v>
      </c>
      <c r="D21" s="360">
        <f>B21+C21</f>
        <v>3187236</v>
      </c>
      <c r="E21" s="360">
        <v>92512</v>
      </c>
      <c r="F21" s="360">
        <v>-171650</v>
      </c>
      <c r="G21" s="360">
        <f>E21+F21</f>
        <v>-79138</v>
      </c>
      <c r="H21" s="360">
        <v>71437</v>
      </c>
      <c r="I21" s="360">
        <v>36390</v>
      </c>
      <c r="J21" s="360">
        <f t="shared" si="0"/>
        <v>107827</v>
      </c>
      <c r="K21" s="360">
        <f t="shared" si="1"/>
        <v>3215925</v>
      </c>
    </row>
    <row r="22" spans="1:11">
      <c r="A22" s="487" t="s">
        <v>275</v>
      </c>
      <c r="B22" s="360"/>
      <c r="C22" s="360">
        <f>[1]Sheet2!B14</f>
        <v>3590136</v>
      </c>
      <c r="D22" s="360">
        <f>B22+C22</f>
        <v>3590136</v>
      </c>
      <c r="E22" s="360"/>
      <c r="F22" s="360">
        <v>-45273</v>
      </c>
      <c r="G22" s="360">
        <f>E22+F22</f>
        <v>-45273</v>
      </c>
      <c r="H22" s="360"/>
      <c r="I22" s="360">
        <v>341835</v>
      </c>
      <c r="J22" s="360">
        <f t="shared" si="0"/>
        <v>341835</v>
      </c>
      <c r="K22" s="360">
        <f t="shared" si="1"/>
        <v>3886698</v>
      </c>
    </row>
    <row r="23" spans="1:11" ht="7.5" customHeight="1">
      <c r="A23" s="281"/>
      <c r="B23" s="360"/>
      <c r="C23" s="511"/>
      <c r="D23" s="360"/>
      <c r="E23" s="360"/>
      <c r="F23" s="511"/>
      <c r="G23" s="360">
        <f>E23+F23</f>
        <v>0</v>
      </c>
      <c r="H23" s="360"/>
      <c r="I23" s="360"/>
      <c r="J23" s="360">
        <f t="shared" si="0"/>
        <v>0</v>
      </c>
      <c r="K23" s="360">
        <f t="shared" si="1"/>
        <v>0</v>
      </c>
    </row>
    <row r="24" spans="1:11">
      <c r="A24" s="500" t="s">
        <v>138</v>
      </c>
      <c r="B24" s="302">
        <f>SUM(B25:B27)</f>
        <v>816000</v>
      </c>
      <c r="C24" s="302">
        <f>SUM(C25:C27)</f>
        <v>180000</v>
      </c>
      <c r="D24" s="302">
        <f>B24+C24</f>
        <v>996000</v>
      </c>
      <c r="E24" s="302">
        <f>SUM(E25:E27)</f>
        <v>25193</v>
      </c>
      <c r="F24" s="302">
        <f>SUM(F25:F27)</f>
        <v>0</v>
      </c>
      <c r="G24" s="302">
        <f>E24+F24</f>
        <v>25193</v>
      </c>
      <c r="H24" s="302">
        <f t="shared" ref="H24:I24" si="3">SUM(H25:H27)</f>
        <v>221738</v>
      </c>
      <c r="I24" s="302">
        <f t="shared" si="3"/>
        <v>0</v>
      </c>
      <c r="J24" s="302">
        <f t="shared" si="0"/>
        <v>221738</v>
      </c>
      <c r="K24" s="302">
        <f t="shared" si="1"/>
        <v>1242931</v>
      </c>
    </row>
    <row r="25" spans="1:11">
      <c r="A25" s="487" t="s">
        <v>149</v>
      </c>
      <c r="B25" s="360">
        <f>'[1]2.1 LK TULUD'!B34</f>
        <v>716000</v>
      </c>
      <c r="C25" s="514"/>
      <c r="D25" s="360">
        <f>B25+C25</f>
        <v>716000</v>
      </c>
      <c r="E25" s="360"/>
      <c r="F25" s="514"/>
      <c r="G25" s="360">
        <f>E25+F25</f>
        <v>0</v>
      </c>
      <c r="H25" s="360"/>
      <c r="I25" s="360"/>
      <c r="J25" s="360">
        <f t="shared" si="0"/>
        <v>0</v>
      </c>
      <c r="K25" s="360">
        <f t="shared" si="1"/>
        <v>716000</v>
      </c>
    </row>
    <row r="26" spans="1:11">
      <c r="A26" s="487" t="s">
        <v>1110</v>
      </c>
      <c r="B26" s="360"/>
      <c r="C26" s="514"/>
      <c r="D26" s="360"/>
      <c r="E26" s="360"/>
      <c r="F26" s="514"/>
      <c r="G26" s="360"/>
      <c r="H26" s="360">
        <v>29000</v>
      </c>
      <c r="I26" s="360"/>
      <c r="J26" s="360">
        <f t="shared" si="0"/>
        <v>29000</v>
      </c>
      <c r="K26" s="360">
        <f t="shared" si="1"/>
        <v>29000</v>
      </c>
    </row>
    <row r="27" spans="1:11">
      <c r="A27" s="487" t="s">
        <v>307</v>
      </c>
      <c r="B27" s="360">
        <f>'[1]2.1 LK TULUD'!B39</f>
        <v>100000</v>
      </c>
      <c r="C27" s="360">
        <f>[1]Sheet2!B13</f>
        <v>180000</v>
      </c>
      <c r="D27" s="360">
        <f>B27+C27</f>
        <v>280000</v>
      </c>
      <c r="E27" s="360">
        <v>25193</v>
      </c>
      <c r="F27" s="360">
        <f>[1]Sheet2!C13</f>
        <v>0</v>
      </c>
      <c r="G27" s="360">
        <f>E27+F27</f>
        <v>25193</v>
      </c>
      <c r="H27" s="360">
        <v>192738</v>
      </c>
      <c r="I27" s="360"/>
      <c r="J27" s="360">
        <f t="shared" si="0"/>
        <v>192738</v>
      </c>
      <c r="K27" s="360">
        <f t="shared" si="1"/>
        <v>497931</v>
      </c>
    </row>
    <row r="28" spans="1:11" ht="8.25" customHeight="1">
      <c r="A28" s="281"/>
      <c r="B28" s="360"/>
      <c r="C28" s="511"/>
      <c r="D28" s="360"/>
      <c r="E28" s="360"/>
      <c r="F28" s="511"/>
      <c r="G28" s="360">
        <f>E28+F28</f>
        <v>0</v>
      </c>
      <c r="H28" s="360"/>
      <c r="I28" s="360"/>
      <c r="J28" s="360">
        <f t="shared" si="0"/>
        <v>0</v>
      </c>
      <c r="K28" s="360">
        <f t="shared" si="1"/>
        <v>0</v>
      </c>
    </row>
    <row r="29" spans="1:11">
      <c r="A29" s="500" t="s">
        <v>139</v>
      </c>
      <c r="B29" s="302">
        <f>B30</f>
        <v>50000</v>
      </c>
      <c r="C29" s="498"/>
      <c r="D29" s="302">
        <f>B29+C29</f>
        <v>50000</v>
      </c>
      <c r="E29" s="302">
        <f>E30</f>
        <v>0</v>
      </c>
      <c r="F29" s="498"/>
      <c r="G29" s="302">
        <f>E29+F29</f>
        <v>0</v>
      </c>
      <c r="H29" s="302">
        <f>H30</f>
        <v>-10000</v>
      </c>
      <c r="I29" s="302"/>
      <c r="J29" s="302">
        <f t="shared" si="0"/>
        <v>-10000</v>
      </c>
      <c r="K29" s="302">
        <f t="shared" si="1"/>
        <v>40000</v>
      </c>
    </row>
    <row r="30" spans="1:11">
      <c r="A30" s="487" t="s">
        <v>150</v>
      </c>
      <c r="B30" s="360">
        <f>'[1]2.1 LK TULUD'!B49</f>
        <v>50000</v>
      </c>
      <c r="C30" s="514"/>
      <c r="D30" s="360">
        <f>B30+C30</f>
        <v>50000</v>
      </c>
      <c r="E30" s="360"/>
      <c r="F30" s="514"/>
      <c r="G30" s="360">
        <f>E30+F30</f>
        <v>0</v>
      </c>
      <c r="H30" s="360">
        <v>-10000</v>
      </c>
      <c r="I30" s="360"/>
      <c r="J30" s="360">
        <f t="shared" si="0"/>
        <v>-10000</v>
      </c>
      <c r="K30" s="360">
        <f t="shared" si="1"/>
        <v>40000</v>
      </c>
    </row>
    <row r="31" spans="1:11" ht="9" customHeight="1">
      <c r="A31" s="281"/>
      <c r="B31" s="360"/>
      <c r="C31" s="511"/>
      <c r="D31" s="360"/>
      <c r="E31" s="360"/>
      <c r="F31" s="511"/>
      <c r="G31" s="360">
        <f>E31+F31</f>
        <v>0</v>
      </c>
      <c r="H31" s="360"/>
      <c r="I31" s="360"/>
      <c r="J31" s="360">
        <f t="shared" si="0"/>
        <v>0</v>
      </c>
      <c r="K31" s="360">
        <f t="shared" si="1"/>
        <v>0</v>
      </c>
    </row>
    <row r="32" spans="1:11">
      <c r="A32" s="500" t="s">
        <v>151</v>
      </c>
      <c r="B32" s="302">
        <f>SUM(B33:B35)</f>
        <v>1418868</v>
      </c>
      <c r="C32" s="498"/>
      <c r="D32" s="302">
        <f>B32+C32</f>
        <v>1418868</v>
      </c>
      <c r="E32" s="302">
        <f>SUM(E33:E35)</f>
        <v>302684</v>
      </c>
      <c r="F32" s="498"/>
      <c r="G32" s="302">
        <f>E32+F32</f>
        <v>302684</v>
      </c>
      <c r="H32" s="302">
        <f>SUM(H33:H35)</f>
        <v>14900</v>
      </c>
      <c r="I32" s="302"/>
      <c r="J32" s="302">
        <f t="shared" si="0"/>
        <v>14900</v>
      </c>
      <c r="K32" s="302">
        <f t="shared" si="1"/>
        <v>1736452</v>
      </c>
    </row>
    <row r="33" spans="1:11">
      <c r="A33" s="487" t="s">
        <v>164</v>
      </c>
      <c r="B33" s="360">
        <f>'[1]2.1 LK TULUD'!B53</f>
        <v>2927000</v>
      </c>
      <c r="C33" s="511"/>
      <c r="D33" s="360">
        <f>B33+C33</f>
        <v>2927000</v>
      </c>
      <c r="E33" s="360">
        <v>309484</v>
      </c>
      <c r="F33" s="511"/>
      <c r="G33" s="360">
        <v>309484</v>
      </c>
      <c r="H33" s="360">
        <v>14900</v>
      </c>
      <c r="I33" s="360"/>
      <c r="J33" s="360">
        <f t="shared" si="0"/>
        <v>14900</v>
      </c>
      <c r="K33" s="360">
        <f t="shared" si="1"/>
        <v>3251384</v>
      </c>
    </row>
    <row r="34" spans="1:11">
      <c r="A34" s="487" t="s">
        <v>21</v>
      </c>
      <c r="B34" s="360">
        <f>'[1]2.1 LK TULUD'!B56</f>
        <v>-1498132</v>
      </c>
      <c r="C34" s="511"/>
      <c r="D34" s="360">
        <f>B34+C34</f>
        <v>-1498132</v>
      </c>
      <c r="E34" s="360">
        <v>-6800</v>
      </c>
      <c r="F34" s="511"/>
      <c r="G34" s="360">
        <v>-6800</v>
      </c>
      <c r="H34" s="360"/>
      <c r="I34" s="360"/>
      <c r="J34" s="360">
        <f t="shared" si="0"/>
        <v>0</v>
      </c>
      <c r="K34" s="360">
        <f t="shared" si="1"/>
        <v>-1504932</v>
      </c>
    </row>
    <row r="35" spans="1:11">
      <c r="A35" s="487" t="s">
        <v>140</v>
      </c>
      <c r="B35" s="360">
        <f>'[1]2.1 LK TULUD'!B57</f>
        <v>-10000</v>
      </c>
      <c r="C35" s="511"/>
      <c r="D35" s="360">
        <f>B35+C35</f>
        <v>-10000</v>
      </c>
      <c r="E35" s="360"/>
      <c r="F35" s="511"/>
      <c r="G35" s="360">
        <f>E35+F35</f>
        <v>0</v>
      </c>
      <c r="H35" s="360"/>
      <c r="I35" s="360"/>
      <c r="J35" s="360">
        <f t="shared" si="0"/>
        <v>0</v>
      </c>
      <c r="K35" s="360">
        <f t="shared" si="1"/>
        <v>-10000</v>
      </c>
    </row>
    <row r="36" spans="1:11" ht="9" customHeight="1">
      <c r="A36" s="281"/>
      <c r="B36" s="360"/>
      <c r="C36" s="511"/>
      <c r="D36" s="360"/>
      <c r="E36" s="360"/>
      <c r="F36" s="511"/>
      <c r="G36" s="360">
        <f>E36+F36</f>
        <v>0</v>
      </c>
      <c r="H36" s="360"/>
      <c r="I36" s="360"/>
      <c r="J36" s="360">
        <f t="shared" si="0"/>
        <v>0</v>
      </c>
      <c r="K36" s="360">
        <f t="shared" si="1"/>
        <v>0</v>
      </c>
    </row>
    <row r="37" spans="1:11">
      <c r="A37" s="500" t="s">
        <v>141</v>
      </c>
      <c r="B37" s="302">
        <f>SUM(B38:B39)</f>
        <v>377150</v>
      </c>
      <c r="C37" s="498">
        <f>C40</f>
        <v>-230000</v>
      </c>
      <c r="D37" s="302">
        <f>B37+C37</f>
        <v>147150</v>
      </c>
      <c r="E37" s="302">
        <f>SUM(E38:E39)</f>
        <v>1160</v>
      </c>
      <c r="F37" s="498">
        <f>F40</f>
        <v>0</v>
      </c>
      <c r="G37" s="302">
        <f>E37+F37</f>
        <v>1160</v>
      </c>
      <c r="H37" s="302">
        <f>SUM(H38:H39)</f>
        <v>23566</v>
      </c>
      <c r="I37" s="302"/>
      <c r="J37" s="302">
        <f t="shared" si="0"/>
        <v>23566</v>
      </c>
      <c r="K37" s="302">
        <f t="shared" si="1"/>
        <v>171876</v>
      </c>
    </row>
    <row r="38" spans="1:11">
      <c r="A38" s="487" t="s">
        <v>492</v>
      </c>
      <c r="B38" s="360">
        <f>'[1]2.1 LK TULUD'!B60</f>
        <v>310000</v>
      </c>
      <c r="C38" s="514"/>
      <c r="D38" s="360">
        <f>B38+C38</f>
        <v>310000</v>
      </c>
      <c r="E38" s="360"/>
      <c r="F38" s="514"/>
      <c r="G38" s="360">
        <f>E38+F38</f>
        <v>0</v>
      </c>
      <c r="H38" s="360"/>
      <c r="I38" s="360"/>
      <c r="J38" s="360">
        <f t="shared" si="0"/>
        <v>0</v>
      </c>
      <c r="K38" s="360">
        <f t="shared" si="1"/>
        <v>310000</v>
      </c>
    </row>
    <row r="39" spans="1:11">
      <c r="A39" s="487" t="s">
        <v>132</v>
      </c>
      <c r="B39" s="360">
        <f>'[1]2.1 LK TULUD'!B62</f>
        <v>67150</v>
      </c>
      <c r="C39" s="514"/>
      <c r="D39" s="360">
        <f>B39+C39</f>
        <v>67150</v>
      </c>
      <c r="E39" s="583">
        <v>1160</v>
      </c>
      <c r="F39" s="514"/>
      <c r="G39" s="360">
        <f>E39+F39</f>
        <v>1160</v>
      </c>
      <c r="H39" s="360">
        <v>23566</v>
      </c>
      <c r="I39" s="360"/>
      <c r="J39" s="360">
        <f t="shared" si="0"/>
        <v>23566</v>
      </c>
      <c r="K39" s="360">
        <f t="shared" si="1"/>
        <v>91876</v>
      </c>
    </row>
    <row r="40" spans="1:11">
      <c r="A40" s="487" t="s">
        <v>532</v>
      </c>
      <c r="B40" s="360"/>
      <c r="C40" s="520">
        <f>[1]Sheet2!B18</f>
        <v>-230000</v>
      </c>
      <c r="D40" s="360">
        <f>B40+C40</f>
        <v>-230000</v>
      </c>
      <c r="E40" s="360"/>
      <c r="F40" s="520">
        <f>[1]Sheet2!C18</f>
        <v>0</v>
      </c>
      <c r="G40" s="360">
        <f>E40+F40</f>
        <v>0</v>
      </c>
      <c r="H40" s="360"/>
      <c r="I40" s="360"/>
      <c r="J40" s="360">
        <f t="shared" si="0"/>
        <v>0</v>
      </c>
      <c r="K40" s="360">
        <f t="shared" si="1"/>
        <v>-230000</v>
      </c>
    </row>
    <row r="41" spans="1:11" ht="8.25" customHeight="1">
      <c r="A41" s="281"/>
      <c r="B41" s="360"/>
      <c r="C41" s="511"/>
      <c r="D41" s="360"/>
      <c r="E41" s="360"/>
      <c r="F41" s="511"/>
      <c r="G41" s="360">
        <f>E41+F41</f>
        <v>0</v>
      </c>
      <c r="H41" s="360"/>
      <c r="I41" s="360"/>
      <c r="J41" s="360">
        <f t="shared" si="0"/>
        <v>0</v>
      </c>
      <c r="K41" s="360">
        <f t="shared" si="1"/>
        <v>0</v>
      </c>
    </row>
    <row r="42" spans="1:11">
      <c r="A42" s="500" t="s">
        <v>142</v>
      </c>
      <c r="B42" s="498">
        <f>'[1]2.1 LK TULUD'!B66</f>
        <v>8900000</v>
      </c>
      <c r="C42" s="498"/>
      <c r="D42" s="498">
        <f>B42+C42</f>
        <v>8900000</v>
      </c>
      <c r="E42" s="498">
        <v>145817</v>
      </c>
      <c r="F42" s="498"/>
      <c r="G42" s="498">
        <f>E42+F42</f>
        <v>145817</v>
      </c>
      <c r="H42" s="498"/>
      <c r="I42" s="498"/>
      <c r="J42" s="498">
        <f t="shared" si="0"/>
        <v>0</v>
      </c>
      <c r="K42" s="498">
        <f t="shared" si="1"/>
        <v>9045817</v>
      </c>
    </row>
    <row r="43" spans="1:11" ht="8.25" customHeight="1">
      <c r="A43" s="500"/>
      <c r="B43" s="360"/>
      <c r="C43" s="498"/>
      <c r="D43" s="360"/>
      <c r="E43" s="360"/>
      <c r="F43" s="498"/>
      <c r="G43" s="360">
        <f>E43+F43</f>
        <v>0</v>
      </c>
      <c r="H43" s="360"/>
      <c r="I43" s="360"/>
      <c r="J43" s="360">
        <f t="shared" si="0"/>
        <v>0</v>
      </c>
      <c r="K43" s="360">
        <f t="shared" si="1"/>
        <v>0</v>
      </c>
    </row>
    <row r="44" spans="1:11">
      <c r="A44" s="521" t="s">
        <v>1054</v>
      </c>
      <c r="B44" s="302">
        <f>B5+B16+B18+B24+B29+B32+B37+B42</f>
        <v>377888017</v>
      </c>
      <c r="C44" s="302">
        <f>C5+C16+C18+C24+C29+C32+C37+C42</f>
        <v>61803515</v>
      </c>
      <c r="D44" s="302">
        <f>D5+D16+D18+D24+D29+D32+D37+D42</f>
        <v>439691532</v>
      </c>
      <c r="E44" s="302">
        <f>E5+E16+E18+E24+E29+E32+E37+E42</f>
        <v>6747366</v>
      </c>
      <c r="F44" s="302">
        <f>F5+F16+F18+F24+F29+F32+F37+F42</f>
        <v>-63443</v>
      </c>
      <c r="G44" s="302">
        <f>E44+F44</f>
        <v>6683923</v>
      </c>
      <c r="H44" s="302">
        <f t="shared" ref="H44:I44" si="4">H5+H16+H18+H24+H29+H32+H37+H42</f>
        <v>6535431</v>
      </c>
      <c r="I44" s="302">
        <f t="shared" si="4"/>
        <v>1325417</v>
      </c>
      <c r="J44" s="302">
        <f t="shared" si="0"/>
        <v>7860848</v>
      </c>
      <c r="K44" s="302">
        <f t="shared" si="1"/>
        <v>454236303</v>
      </c>
    </row>
    <row r="45" spans="1:11" ht="13.5" customHeight="1">
      <c r="A45" s="500"/>
      <c r="B45" s="360"/>
      <c r="C45" s="498"/>
      <c r="D45" s="360"/>
      <c r="E45" s="360"/>
      <c r="F45" s="498"/>
      <c r="G45" s="360">
        <f>E45+F45</f>
        <v>0</v>
      </c>
      <c r="H45" s="360"/>
      <c r="I45" s="360"/>
      <c r="J45" s="360">
        <f t="shared" si="0"/>
        <v>0</v>
      </c>
      <c r="K45" s="360">
        <f t="shared" si="1"/>
        <v>0</v>
      </c>
    </row>
    <row r="46" spans="1:11">
      <c r="A46" s="500" t="s">
        <v>768</v>
      </c>
      <c r="B46" s="302">
        <f>SUM(B47:B49)</f>
        <v>100256906</v>
      </c>
      <c r="C46" s="302">
        <f>SUM(C47:C48)</f>
        <v>153510</v>
      </c>
      <c r="D46" s="302">
        <f>B46+C46</f>
        <v>100410416</v>
      </c>
      <c r="E46" s="302">
        <f>SUM(E47:E49)</f>
        <v>754847</v>
      </c>
      <c r="F46" s="302">
        <f>SUM(F47:F48)</f>
        <v>10498392</v>
      </c>
      <c r="G46" s="302">
        <f>E46+F46</f>
        <v>11253239</v>
      </c>
      <c r="H46" s="302">
        <f t="shared" ref="H46" si="5">SUM(H47:H48)</f>
        <v>0</v>
      </c>
      <c r="I46" s="302">
        <f>SUM(I47:I49)</f>
        <v>84674</v>
      </c>
      <c r="J46" s="302">
        <f t="shared" si="0"/>
        <v>84674</v>
      </c>
      <c r="K46" s="302">
        <f t="shared" si="1"/>
        <v>111748329</v>
      </c>
    </row>
    <row r="47" spans="1:11">
      <c r="A47" s="281" t="s">
        <v>1055</v>
      </c>
      <c r="B47" s="360">
        <f>'[1]2.3 TOETUSED'!B4</f>
        <v>79307980</v>
      </c>
      <c r="C47" s="511"/>
      <c r="D47" s="360">
        <f>B47+C47</f>
        <v>79307980</v>
      </c>
      <c r="E47" s="360">
        <v>584251</v>
      </c>
      <c r="F47" s="511">
        <v>10000000</v>
      </c>
      <c r="G47" s="360">
        <f>E47+F47</f>
        <v>10584251</v>
      </c>
      <c r="H47" s="360"/>
      <c r="I47" s="360"/>
      <c r="J47" s="360">
        <f t="shared" si="0"/>
        <v>0</v>
      </c>
      <c r="K47" s="360">
        <f t="shared" si="1"/>
        <v>89892231</v>
      </c>
    </row>
    <row r="48" spans="1:11">
      <c r="A48" s="487" t="s">
        <v>152</v>
      </c>
      <c r="B48" s="360">
        <f>'[1]2.3 TOETUSED'!B74</f>
        <v>20482294</v>
      </c>
      <c r="C48" s="360">
        <f>'[1]2.3 TOETUSED'!B26</f>
        <v>153510</v>
      </c>
      <c r="D48" s="360">
        <f>B48+C48</f>
        <v>20635804</v>
      </c>
      <c r="E48" s="360">
        <v>170596</v>
      </c>
      <c r="F48" s="360">
        <v>498392</v>
      </c>
      <c r="G48" s="360">
        <f>E48+F48</f>
        <v>668988</v>
      </c>
      <c r="H48" s="360"/>
      <c r="I48" s="360">
        <v>84256</v>
      </c>
      <c r="J48" s="360">
        <f t="shared" si="0"/>
        <v>84256</v>
      </c>
      <c r="K48" s="360">
        <f t="shared" si="1"/>
        <v>21389048</v>
      </c>
    </row>
    <row r="49" spans="1:11">
      <c r="A49" s="487" t="s">
        <v>1056</v>
      </c>
      <c r="B49" s="360">
        <f>'[1]2.3 TOETUSED'!B14</f>
        <v>466632</v>
      </c>
      <c r="C49" s="511"/>
      <c r="D49" s="360">
        <f>B49+C49</f>
        <v>466632</v>
      </c>
      <c r="E49" s="360"/>
      <c r="F49" s="511"/>
      <c r="G49" s="360">
        <f>E49+F49</f>
        <v>0</v>
      </c>
      <c r="H49" s="360"/>
      <c r="I49" s="360">
        <v>418</v>
      </c>
      <c r="J49" s="360">
        <f t="shared" si="0"/>
        <v>418</v>
      </c>
      <c r="K49" s="360">
        <f t="shared" si="1"/>
        <v>467050</v>
      </c>
    </row>
    <row r="50" spans="1:11" ht="9.75" customHeight="1">
      <c r="A50" s="281"/>
      <c r="B50" s="360"/>
      <c r="C50" s="511"/>
      <c r="D50" s="360"/>
      <c r="E50" s="360"/>
      <c r="F50" s="511"/>
      <c r="G50" s="360">
        <f>E50+F50</f>
        <v>0</v>
      </c>
      <c r="H50" s="360"/>
      <c r="I50" s="360"/>
      <c r="J50" s="360">
        <f t="shared" si="0"/>
        <v>0</v>
      </c>
      <c r="K50" s="360">
        <f t="shared" si="1"/>
        <v>0</v>
      </c>
    </row>
    <row r="51" spans="1:11">
      <c r="A51" s="500" t="s">
        <v>1057</v>
      </c>
      <c r="B51" s="302">
        <f>B44+B46</f>
        <v>478144923</v>
      </c>
      <c r="C51" s="302">
        <f>C44+C46</f>
        <v>61957025</v>
      </c>
      <c r="D51" s="302">
        <f>B51+C51</f>
        <v>540101948</v>
      </c>
      <c r="E51" s="302">
        <f>E44+E46</f>
        <v>7502213</v>
      </c>
      <c r="F51" s="302">
        <f>F44+F46</f>
        <v>10434949</v>
      </c>
      <c r="G51" s="302">
        <f>E51+F51</f>
        <v>17937162</v>
      </c>
      <c r="H51" s="302">
        <f t="shared" ref="H51:I51" si="6">H44+H46</f>
        <v>6535431</v>
      </c>
      <c r="I51" s="302">
        <f t="shared" si="6"/>
        <v>1410091</v>
      </c>
      <c r="J51" s="302">
        <f t="shared" si="0"/>
        <v>7945522</v>
      </c>
      <c r="K51" s="302">
        <f t="shared" si="1"/>
        <v>565984632</v>
      </c>
    </row>
    <row r="52" spans="1:11">
      <c r="K52" s="360"/>
    </row>
    <row r="53" spans="1:11">
      <c r="D53" s="360"/>
      <c r="K53" s="360"/>
    </row>
  </sheetData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85"/>
  <sheetViews>
    <sheetView showZeros="0" zoomScaleNormal="100" workbookViewId="0"/>
  </sheetViews>
  <sheetFormatPr defaultColWidth="9.140625" defaultRowHeight="12.75"/>
  <cols>
    <col min="1" max="1" width="47.28515625" style="47" customWidth="1"/>
    <col min="2" max="2" width="11.7109375" style="47" bestFit="1" customWidth="1"/>
    <col min="3" max="4" width="9.140625" style="47" hidden="1" customWidth="1"/>
    <col min="5" max="5" width="11.7109375" style="47" bestFit="1" customWidth="1"/>
    <col min="6" max="16384" width="9.140625" style="47"/>
  </cols>
  <sheetData>
    <row r="1" spans="1:5" ht="15">
      <c r="A1" s="15" t="s">
        <v>153</v>
      </c>
    </row>
    <row r="2" spans="1:5" ht="15">
      <c r="A2" s="15"/>
      <c r="E2" s="358" t="s">
        <v>134</v>
      </c>
    </row>
    <row r="3" spans="1:5" ht="29.25" customHeight="1">
      <c r="A3" s="15"/>
      <c r="B3" s="471" t="s">
        <v>702</v>
      </c>
      <c r="C3" s="471" t="s">
        <v>700</v>
      </c>
      <c r="D3" s="471" t="s">
        <v>1067</v>
      </c>
      <c r="E3" s="471" t="s">
        <v>701</v>
      </c>
    </row>
    <row r="4" spans="1:5">
      <c r="A4" s="17" t="s">
        <v>135</v>
      </c>
      <c r="B4" s="18">
        <f>B5+B8</f>
        <v>354100000</v>
      </c>
      <c r="C4" s="18">
        <f>C5</f>
        <v>6000000</v>
      </c>
      <c r="D4" s="678">
        <f>D5</f>
        <v>6000000</v>
      </c>
      <c r="E4" s="678">
        <f>SUM(B4:D4)</f>
        <v>366100000</v>
      </c>
    </row>
    <row r="5" spans="1:5" ht="12.75" customHeight="1">
      <c r="A5" s="16" t="s">
        <v>145</v>
      </c>
      <c r="B5" s="19">
        <f>B6</f>
        <v>326300000</v>
      </c>
      <c r="C5" s="19">
        <f>C6</f>
        <v>6000000</v>
      </c>
      <c r="D5" s="207">
        <f>D6</f>
        <v>6000000</v>
      </c>
      <c r="E5" s="218">
        <f t="shared" ref="E5:E68" si="0">SUM(B5:D5)</f>
        <v>338300000</v>
      </c>
    </row>
    <row r="6" spans="1:5" ht="12.75" customHeight="1">
      <c r="A6" s="14" t="s">
        <v>144</v>
      </c>
      <c r="B6" s="20">
        <v>326300000</v>
      </c>
      <c r="C6" s="20">
        <v>6000000</v>
      </c>
      <c r="D6" s="679">
        <v>6000000</v>
      </c>
      <c r="E6" s="680">
        <f t="shared" si="0"/>
        <v>338300000</v>
      </c>
    </row>
    <row r="7" spans="1:5">
      <c r="A7" s="14"/>
      <c r="B7" s="48"/>
      <c r="C7" s="48"/>
      <c r="D7" s="207"/>
      <c r="E7" s="680">
        <f t="shared" si="0"/>
        <v>0</v>
      </c>
    </row>
    <row r="8" spans="1:5" ht="12.75" customHeight="1">
      <c r="A8" s="16" t="s">
        <v>146</v>
      </c>
      <c r="B8" s="19">
        <f>B9</f>
        <v>27800000</v>
      </c>
      <c r="C8" s="19"/>
      <c r="D8" s="207"/>
      <c r="E8" s="218">
        <f t="shared" si="0"/>
        <v>27800000</v>
      </c>
    </row>
    <row r="9" spans="1:5" ht="12.75" customHeight="1">
      <c r="A9" s="14" t="s">
        <v>144</v>
      </c>
      <c r="B9" s="20">
        <v>27800000</v>
      </c>
      <c r="C9" s="20"/>
      <c r="D9" s="207"/>
      <c r="E9" s="680">
        <f t="shared" si="0"/>
        <v>27800000</v>
      </c>
    </row>
    <row r="10" spans="1:5">
      <c r="A10" s="16"/>
      <c r="B10" s="48"/>
      <c r="C10" s="48"/>
      <c r="D10" s="207"/>
      <c r="E10" s="218">
        <f t="shared" si="0"/>
        <v>0</v>
      </c>
    </row>
    <row r="11" spans="1:5">
      <c r="A11" s="17" t="s">
        <v>136</v>
      </c>
      <c r="B11" s="18">
        <f>B12+B15+B18</f>
        <v>11035000</v>
      </c>
      <c r="C11" s="18">
        <f>C12</f>
        <v>180000</v>
      </c>
      <c r="D11" s="678">
        <f>D15+D12+D18</f>
        <v>173000</v>
      </c>
      <c r="E11" s="678">
        <f t="shared" si="0"/>
        <v>11388000</v>
      </c>
    </row>
    <row r="12" spans="1:5" ht="12.75" customHeight="1">
      <c r="A12" s="21" t="s">
        <v>147</v>
      </c>
      <c r="B12" s="22">
        <f>B13</f>
        <v>3285000</v>
      </c>
      <c r="C12" s="22">
        <f>C13</f>
        <v>180000</v>
      </c>
      <c r="D12" s="207">
        <f>D13</f>
        <v>210000</v>
      </c>
      <c r="E12" s="207">
        <f t="shared" si="0"/>
        <v>3675000</v>
      </c>
    </row>
    <row r="13" spans="1:5" ht="12.75" customHeight="1">
      <c r="A13" s="24" t="s">
        <v>154</v>
      </c>
      <c r="B13" s="53">
        <v>3285000</v>
      </c>
      <c r="C13" s="53">
        <f>115000+65000</f>
        <v>180000</v>
      </c>
      <c r="D13" s="679">
        <f>200000+10000</f>
        <v>210000</v>
      </c>
      <c r="E13" s="679">
        <f t="shared" si="0"/>
        <v>3675000</v>
      </c>
    </row>
    <row r="14" spans="1:5" ht="12.75" customHeight="1">
      <c r="A14" s="23"/>
      <c r="B14" s="21"/>
      <c r="C14" s="21"/>
      <c r="D14" s="679"/>
      <c r="E14" s="679">
        <f t="shared" si="0"/>
        <v>0</v>
      </c>
    </row>
    <row r="15" spans="1:5" ht="12.75" customHeight="1">
      <c r="A15" s="21" t="s">
        <v>491</v>
      </c>
      <c r="B15" s="22">
        <f>B16</f>
        <v>900000</v>
      </c>
      <c r="C15" s="22"/>
      <c r="D15" s="207">
        <f>D16</f>
        <v>100000</v>
      </c>
      <c r="E15" s="207">
        <f t="shared" si="0"/>
        <v>1000000</v>
      </c>
    </row>
    <row r="16" spans="1:5" ht="12.75" customHeight="1">
      <c r="A16" s="24" t="s">
        <v>155</v>
      </c>
      <c r="B16" s="53">
        <v>900000</v>
      </c>
      <c r="C16" s="53"/>
      <c r="D16" s="679">
        <v>100000</v>
      </c>
      <c r="E16" s="679">
        <f t="shared" si="0"/>
        <v>1000000</v>
      </c>
    </row>
    <row r="17" spans="1:5" ht="12.75" customHeight="1">
      <c r="A17" s="23"/>
      <c r="B17" s="21"/>
      <c r="C17" s="21"/>
      <c r="D17" s="679"/>
      <c r="E17" s="679">
        <f t="shared" si="0"/>
        <v>0</v>
      </c>
    </row>
    <row r="18" spans="1:5">
      <c r="A18" s="21" t="s">
        <v>148</v>
      </c>
      <c r="B18" s="22">
        <f>B19</f>
        <v>6850000</v>
      </c>
      <c r="C18" s="22"/>
      <c r="D18" s="207">
        <f>D19</f>
        <v>-137000</v>
      </c>
      <c r="E18" s="207">
        <f t="shared" si="0"/>
        <v>6713000</v>
      </c>
    </row>
    <row r="19" spans="1:5" ht="12.75" customHeight="1">
      <c r="A19" s="24" t="s">
        <v>155</v>
      </c>
      <c r="B19" s="53">
        <v>6850000</v>
      </c>
      <c r="C19" s="53"/>
      <c r="D19" s="679">
        <v>-137000</v>
      </c>
      <c r="E19" s="679">
        <f t="shared" si="0"/>
        <v>6713000</v>
      </c>
    </row>
    <row r="20" spans="1:5">
      <c r="A20" s="24"/>
      <c r="B20" s="21"/>
      <c r="C20" s="21"/>
      <c r="D20" s="679"/>
      <c r="E20" s="679">
        <f t="shared" si="0"/>
        <v>0</v>
      </c>
    </row>
    <row r="21" spans="1:5" ht="12.75" customHeight="1">
      <c r="A21" s="17" t="s">
        <v>137</v>
      </c>
      <c r="B21" s="18">
        <f>SUM(B22:B24)</f>
        <v>559000</v>
      </c>
      <c r="C21" s="18"/>
      <c r="D21" s="678">
        <f>SUM(D23:D23)</f>
        <v>40790</v>
      </c>
      <c r="E21" s="678">
        <f t="shared" si="0"/>
        <v>599790</v>
      </c>
    </row>
    <row r="22" spans="1:5">
      <c r="A22" s="24" t="s">
        <v>156</v>
      </c>
      <c r="B22" s="53">
        <v>2800</v>
      </c>
      <c r="C22" s="53"/>
      <c r="D22" s="678"/>
      <c r="E22" s="679">
        <f t="shared" si="0"/>
        <v>2800</v>
      </c>
    </row>
    <row r="23" spans="1:5">
      <c r="A23" s="24" t="s">
        <v>155</v>
      </c>
      <c r="B23" s="53">
        <v>76200</v>
      </c>
      <c r="C23" s="53"/>
      <c r="D23" s="679">
        <v>40790</v>
      </c>
      <c r="E23" s="679">
        <f t="shared" si="0"/>
        <v>116990</v>
      </c>
    </row>
    <row r="24" spans="1:5">
      <c r="A24" s="14" t="s">
        <v>157</v>
      </c>
      <c r="B24" s="20">
        <v>480000</v>
      </c>
      <c r="C24" s="20"/>
      <c r="D24" s="679"/>
      <c r="E24" s="680">
        <f t="shared" si="0"/>
        <v>480000</v>
      </c>
    </row>
    <row r="25" spans="1:5" ht="12.75" customHeight="1">
      <c r="A25" s="24"/>
      <c r="B25" s="48"/>
      <c r="C25" s="48"/>
      <c r="D25" s="679"/>
      <c r="E25" s="679">
        <f t="shared" si="0"/>
        <v>0</v>
      </c>
    </row>
    <row r="26" spans="1:5">
      <c r="A26" s="194" t="s">
        <v>311</v>
      </c>
      <c r="B26" s="5">
        <f>B27+B29</f>
        <v>631999</v>
      </c>
      <c r="C26" s="5">
        <f>C27+C29</f>
        <v>92512</v>
      </c>
      <c r="D26" s="678">
        <f>D27+D29</f>
        <v>71437</v>
      </c>
      <c r="E26" s="210">
        <f t="shared" si="0"/>
        <v>795948</v>
      </c>
    </row>
    <row r="27" spans="1:5">
      <c r="A27" s="13" t="s">
        <v>158</v>
      </c>
      <c r="B27" s="19">
        <f>B28</f>
        <v>556016</v>
      </c>
      <c r="C27" s="19"/>
      <c r="D27" s="207">
        <f>D28</f>
        <v>21437</v>
      </c>
      <c r="E27" s="269">
        <f t="shared" si="0"/>
        <v>577453</v>
      </c>
    </row>
    <row r="28" spans="1:5">
      <c r="A28" s="14" t="s">
        <v>159</v>
      </c>
      <c r="B28" s="20">
        <v>556016</v>
      </c>
      <c r="C28" s="20"/>
      <c r="D28" s="679">
        <v>21437</v>
      </c>
      <c r="E28" s="680">
        <f t="shared" si="0"/>
        <v>577453</v>
      </c>
    </row>
    <row r="29" spans="1:5" ht="12.75" customHeight="1">
      <c r="A29" s="13" t="s">
        <v>160</v>
      </c>
      <c r="B29" s="19">
        <f>B30</f>
        <v>75983</v>
      </c>
      <c r="C29" s="19">
        <f>C30</f>
        <v>92512</v>
      </c>
      <c r="D29" s="207">
        <f>D30</f>
        <v>50000</v>
      </c>
      <c r="E29" s="269">
        <f t="shared" si="0"/>
        <v>218495</v>
      </c>
    </row>
    <row r="30" spans="1:5" ht="12.75" customHeight="1">
      <c r="A30" s="14" t="s">
        <v>159</v>
      </c>
      <c r="B30" s="20">
        <v>75983</v>
      </c>
      <c r="C30" s="20">
        <v>92512</v>
      </c>
      <c r="D30" s="679">
        <v>50000</v>
      </c>
      <c r="E30" s="680">
        <f t="shared" si="0"/>
        <v>218495</v>
      </c>
    </row>
    <row r="31" spans="1:5">
      <c r="A31" s="21"/>
      <c r="B31" s="48"/>
      <c r="C31" s="48"/>
      <c r="D31" s="207"/>
      <c r="E31" s="207">
        <f t="shared" si="0"/>
        <v>0</v>
      </c>
    </row>
    <row r="32" spans="1:5">
      <c r="A32" s="17" t="s">
        <v>138</v>
      </c>
      <c r="B32" s="5">
        <f>B34+B41</f>
        <v>816000</v>
      </c>
      <c r="C32" s="5">
        <f>C34+C41</f>
        <v>25193</v>
      </c>
      <c r="D32" s="678">
        <f>D41+D39</f>
        <v>221738</v>
      </c>
      <c r="E32" s="678">
        <f t="shared" si="0"/>
        <v>1062931</v>
      </c>
    </row>
    <row r="33" spans="1:5" ht="12.75" customHeight="1">
      <c r="A33" s="24"/>
      <c r="B33" s="48"/>
      <c r="C33" s="48"/>
      <c r="D33" s="679"/>
      <c r="E33" s="679">
        <f t="shared" si="0"/>
        <v>0</v>
      </c>
    </row>
    <row r="34" spans="1:5" ht="12.75" customHeight="1">
      <c r="A34" s="21" t="s">
        <v>149</v>
      </c>
      <c r="B34" s="44">
        <f>B35+B36+B37</f>
        <v>716000</v>
      </c>
      <c r="C34" s="44"/>
      <c r="D34" s="679"/>
      <c r="E34" s="207">
        <f t="shared" si="0"/>
        <v>716000</v>
      </c>
    </row>
    <row r="35" spans="1:5">
      <c r="A35" s="14" t="s">
        <v>154</v>
      </c>
      <c r="B35" s="20">
        <v>1000</v>
      </c>
      <c r="C35" s="20"/>
      <c r="D35" s="679"/>
      <c r="E35" s="680">
        <f t="shared" si="0"/>
        <v>1000</v>
      </c>
    </row>
    <row r="36" spans="1:5">
      <c r="A36" s="14" t="s">
        <v>155</v>
      </c>
      <c r="B36" s="20">
        <v>15000</v>
      </c>
      <c r="C36" s="20"/>
      <c r="D36" s="679"/>
      <c r="E36" s="680">
        <f t="shared" si="0"/>
        <v>15000</v>
      </c>
    </row>
    <row r="37" spans="1:5">
      <c r="A37" s="14" t="s">
        <v>162</v>
      </c>
      <c r="B37" s="20">
        <v>700000</v>
      </c>
      <c r="C37" s="20"/>
      <c r="D37" s="679"/>
      <c r="E37" s="680">
        <f t="shared" si="0"/>
        <v>700000</v>
      </c>
    </row>
    <row r="38" spans="1:5">
      <c r="A38" s="23"/>
      <c r="B38" s="48"/>
      <c r="C38" s="48"/>
      <c r="D38" s="679"/>
      <c r="E38" s="679">
        <f t="shared" si="0"/>
        <v>0</v>
      </c>
    </row>
    <row r="39" spans="1:5">
      <c r="A39" s="21" t="s">
        <v>1110</v>
      </c>
      <c r="B39" s="48"/>
      <c r="C39" s="48"/>
      <c r="D39" s="207">
        <v>29000</v>
      </c>
      <c r="E39" s="207">
        <f t="shared" si="0"/>
        <v>29000</v>
      </c>
    </row>
    <row r="40" spans="1:5">
      <c r="A40" s="23"/>
      <c r="B40" s="48"/>
      <c r="C40" s="48"/>
      <c r="D40" s="679"/>
      <c r="E40" s="679">
        <f t="shared" si="0"/>
        <v>0</v>
      </c>
    </row>
    <row r="41" spans="1:5">
      <c r="A41" s="21" t="s">
        <v>307</v>
      </c>
      <c r="B41" s="22">
        <f>B42+B45</f>
        <v>100000</v>
      </c>
      <c r="C41" s="22">
        <f>C42+C45</f>
        <v>25193</v>
      </c>
      <c r="D41" s="207">
        <f>+D45+D42</f>
        <v>192738</v>
      </c>
      <c r="E41" s="207">
        <f t="shared" si="0"/>
        <v>317931</v>
      </c>
    </row>
    <row r="42" spans="1:5">
      <c r="A42" s="45" t="s">
        <v>19</v>
      </c>
      <c r="B42" s="22">
        <f>B43</f>
        <v>35000</v>
      </c>
      <c r="C42" s="22">
        <f>C44</f>
        <v>11800</v>
      </c>
      <c r="D42" s="207">
        <f>D44</f>
        <v>17300</v>
      </c>
      <c r="E42" s="207">
        <f t="shared" si="0"/>
        <v>64100</v>
      </c>
    </row>
    <row r="43" spans="1:5">
      <c r="A43" s="14" t="s">
        <v>154</v>
      </c>
      <c r="B43" s="20">
        <v>35000</v>
      </c>
      <c r="C43" s="20"/>
      <c r="D43" s="207"/>
      <c r="E43" s="680">
        <f t="shared" si="0"/>
        <v>35000</v>
      </c>
    </row>
    <row r="44" spans="1:5">
      <c r="A44" s="14" t="s">
        <v>157</v>
      </c>
      <c r="B44" s="14"/>
      <c r="C44" s="53">
        <v>11800</v>
      </c>
      <c r="D44" s="680">
        <v>17300</v>
      </c>
      <c r="E44" s="680">
        <f t="shared" si="0"/>
        <v>29100</v>
      </c>
    </row>
    <row r="45" spans="1:5">
      <c r="A45" s="13" t="s">
        <v>20</v>
      </c>
      <c r="B45" s="19">
        <v>65000</v>
      </c>
      <c r="C45" s="19">
        <f>SUM(C47:C54)</f>
        <v>13393</v>
      </c>
      <c r="D45" s="207">
        <f>SUM(D46:D53)</f>
        <v>175438</v>
      </c>
      <c r="E45" s="269">
        <f t="shared" si="0"/>
        <v>253831</v>
      </c>
    </row>
    <row r="46" spans="1:5">
      <c r="A46" s="24" t="s">
        <v>1111</v>
      </c>
      <c r="B46" s="19"/>
      <c r="C46" s="19"/>
      <c r="D46" s="679">
        <v>22775</v>
      </c>
      <c r="E46" s="679">
        <f t="shared" si="0"/>
        <v>22775</v>
      </c>
    </row>
    <row r="47" spans="1:5">
      <c r="A47" s="14" t="s">
        <v>177</v>
      </c>
      <c r="B47" s="14"/>
      <c r="C47" s="53">
        <v>1218</v>
      </c>
      <c r="D47" s="679">
        <f>139+5708</f>
        <v>5847</v>
      </c>
      <c r="E47" s="680">
        <f t="shared" si="0"/>
        <v>7065</v>
      </c>
    </row>
    <row r="48" spans="1:5">
      <c r="A48" s="14" t="s">
        <v>719</v>
      </c>
      <c r="B48" s="14"/>
      <c r="C48" s="53">
        <v>5993</v>
      </c>
      <c r="D48" s="679">
        <v>1200</v>
      </c>
      <c r="E48" s="680">
        <f t="shared" si="0"/>
        <v>7193</v>
      </c>
    </row>
    <row r="49" spans="1:6">
      <c r="A49" s="24" t="s">
        <v>191</v>
      </c>
      <c r="B49" s="14"/>
      <c r="C49" s="53"/>
      <c r="D49" s="679">
        <f>1061+1026</f>
        <v>2087</v>
      </c>
      <c r="E49" s="679">
        <f t="shared" si="0"/>
        <v>2087</v>
      </c>
    </row>
    <row r="50" spans="1:6">
      <c r="A50" s="14" t="s">
        <v>253</v>
      </c>
      <c r="B50" s="14"/>
      <c r="C50" s="53"/>
      <c r="D50" s="680">
        <v>108720</v>
      </c>
      <c r="E50" s="680">
        <f t="shared" si="0"/>
        <v>108720</v>
      </c>
    </row>
    <row r="51" spans="1:6">
      <c r="A51" s="14" t="s">
        <v>247</v>
      </c>
      <c r="B51" s="14"/>
      <c r="C51" s="53"/>
      <c r="D51" s="680">
        <v>10080</v>
      </c>
      <c r="E51" s="680">
        <f t="shared" si="0"/>
        <v>10080</v>
      </c>
    </row>
    <row r="52" spans="1:6" ht="16.5" customHeight="1">
      <c r="A52" s="14" t="s">
        <v>159</v>
      </c>
      <c r="B52" s="14"/>
      <c r="C52" s="53"/>
      <c r="D52" s="680">
        <v>24300</v>
      </c>
      <c r="E52" s="680">
        <f t="shared" si="0"/>
        <v>24300</v>
      </c>
    </row>
    <row r="53" spans="1:6">
      <c r="A53" s="24" t="s">
        <v>266</v>
      </c>
      <c r="B53" s="14"/>
      <c r="C53" s="53"/>
      <c r="D53" s="679">
        <v>429</v>
      </c>
      <c r="E53" s="679">
        <f t="shared" si="0"/>
        <v>429</v>
      </c>
    </row>
    <row r="54" spans="1:6" s="48" customFormat="1">
      <c r="A54" s="14" t="s">
        <v>268</v>
      </c>
      <c r="B54" s="14"/>
      <c r="C54" s="53">
        <f>5182+1000</f>
        <v>6182</v>
      </c>
      <c r="D54" s="679"/>
      <c r="E54" s="680">
        <f t="shared" si="0"/>
        <v>6182</v>
      </c>
      <c r="F54" s="47"/>
    </row>
    <row r="55" spans="1:6" s="48" customFormat="1">
      <c r="A55" s="23"/>
      <c r="D55" s="679"/>
      <c r="E55" s="679">
        <f t="shared" si="0"/>
        <v>0</v>
      </c>
      <c r="F55" s="47"/>
    </row>
    <row r="56" spans="1:6" s="48" customFormat="1">
      <c r="A56" s="17" t="s">
        <v>139</v>
      </c>
      <c r="B56" s="18">
        <f>B57</f>
        <v>50000</v>
      </c>
      <c r="C56" s="18"/>
      <c r="D56" s="678">
        <f>D57</f>
        <v>-10000</v>
      </c>
      <c r="E56" s="678">
        <f t="shared" si="0"/>
        <v>40000</v>
      </c>
      <c r="F56" s="47"/>
    </row>
    <row r="57" spans="1:6" s="48" customFormat="1">
      <c r="A57" s="21" t="s">
        <v>150</v>
      </c>
      <c r="B57" s="22">
        <f>B58</f>
        <v>50000</v>
      </c>
      <c r="C57" s="22"/>
      <c r="D57" s="207">
        <f>D58</f>
        <v>-10000</v>
      </c>
      <c r="E57" s="207">
        <f t="shared" si="0"/>
        <v>40000</v>
      </c>
      <c r="F57" s="47"/>
    </row>
    <row r="58" spans="1:6" s="48" customFormat="1">
      <c r="A58" s="14" t="s">
        <v>144</v>
      </c>
      <c r="B58" s="20">
        <v>50000</v>
      </c>
      <c r="C58" s="20"/>
      <c r="D58" s="679">
        <v>-10000</v>
      </c>
      <c r="E58" s="680">
        <f t="shared" si="0"/>
        <v>40000</v>
      </c>
      <c r="F58" s="47"/>
    </row>
    <row r="59" spans="1:6" s="48" customFormat="1">
      <c r="A59" s="21"/>
      <c r="D59" s="207"/>
      <c r="E59" s="207">
        <f t="shared" si="0"/>
        <v>0</v>
      </c>
      <c r="F59" s="47"/>
    </row>
    <row r="60" spans="1:6" s="48" customFormat="1" ht="18" customHeight="1">
      <c r="A60" s="17" t="s">
        <v>151</v>
      </c>
      <c r="B60" s="18">
        <f>B61+B65+B66</f>
        <v>1418868</v>
      </c>
      <c r="C60" s="18">
        <f>C61+C65+C66</f>
        <v>302684</v>
      </c>
      <c r="D60" s="18">
        <f t="shared" ref="D60" si="1">D61+D65+D66</f>
        <v>14900</v>
      </c>
      <c r="E60" s="678">
        <f t="shared" si="0"/>
        <v>1736452</v>
      </c>
      <c r="F60" s="47"/>
    </row>
    <row r="61" spans="1:6" s="48" customFormat="1">
      <c r="A61" s="58" t="s">
        <v>164</v>
      </c>
      <c r="B61" s="19">
        <v>2927000</v>
      </c>
      <c r="C61" s="19">
        <f>C62+C63</f>
        <v>309484</v>
      </c>
      <c r="D61" s="207">
        <f>D63+D64</f>
        <v>14900</v>
      </c>
      <c r="E61" s="218">
        <f t="shared" si="0"/>
        <v>3251384</v>
      </c>
      <c r="F61" s="47"/>
    </row>
    <row r="62" spans="1:6">
      <c r="A62" s="14" t="s">
        <v>159</v>
      </c>
      <c r="B62" s="19">
        <v>2927000</v>
      </c>
      <c r="C62" s="20">
        <v>300000</v>
      </c>
      <c r="D62" s="207"/>
      <c r="E62" s="680">
        <f t="shared" si="0"/>
        <v>3227000</v>
      </c>
      <c r="F62" s="48"/>
    </row>
    <row r="63" spans="1:6">
      <c r="A63" s="14" t="s">
        <v>719</v>
      </c>
      <c r="B63" s="14"/>
      <c r="C63" s="53">
        <v>9484</v>
      </c>
      <c r="D63" s="679">
        <v>3000</v>
      </c>
      <c r="E63" s="680">
        <f t="shared" si="0"/>
        <v>12484</v>
      </c>
      <c r="F63" s="48"/>
    </row>
    <row r="64" spans="1:6">
      <c r="A64" s="24" t="s">
        <v>163</v>
      </c>
      <c r="B64" s="14"/>
      <c r="C64" s="53"/>
      <c r="D64" s="679">
        <v>11900</v>
      </c>
      <c r="E64" s="679">
        <f t="shared" si="0"/>
        <v>11900</v>
      </c>
      <c r="F64" s="48"/>
    </row>
    <row r="65" spans="1:6" ht="12.75" customHeight="1">
      <c r="A65" s="58" t="s">
        <v>21</v>
      </c>
      <c r="B65" s="19">
        <v>-1498132</v>
      </c>
      <c r="C65" s="19">
        <v>-6800</v>
      </c>
      <c r="D65" s="207"/>
      <c r="E65" s="218">
        <f t="shared" si="0"/>
        <v>-1504932</v>
      </c>
      <c r="F65" s="48"/>
    </row>
    <row r="66" spans="1:6">
      <c r="A66" s="58" t="s">
        <v>140</v>
      </c>
      <c r="B66" s="19">
        <v>-10000</v>
      </c>
      <c r="C66" s="19"/>
      <c r="D66" s="207"/>
      <c r="E66" s="218">
        <f t="shared" si="0"/>
        <v>-10000</v>
      </c>
      <c r="F66" s="48"/>
    </row>
    <row r="67" spans="1:6">
      <c r="A67" s="58"/>
      <c r="B67" s="19"/>
      <c r="C67" s="19"/>
      <c r="D67" s="207"/>
      <c r="E67" s="218">
        <f t="shared" si="0"/>
        <v>0</v>
      </c>
      <c r="F67" s="48"/>
    </row>
    <row r="68" spans="1:6" ht="12.75" customHeight="1">
      <c r="A68" s="17" t="s">
        <v>141</v>
      </c>
      <c r="B68" s="18">
        <f>B69+B71</f>
        <v>377150</v>
      </c>
      <c r="C68" s="18">
        <f>C69+C71</f>
        <v>1160</v>
      </c>
      <c r="D68" s="678">
        <f>D71</f>
        <v>23566</v>
      </c>
      <c r="E68" s="678">
        <f t="shared" si="0"/>
        <v>401876</v>
      </c>
      <c r="F68" s="48"/>
    </row>
    <row r="69" spans="1:6" ht="12.75" customHeight="1">
      <c r="A69" s="21" t="s">
        <v>492</v>
      </c>
      <c r="B69" s="22">
        <f>B70</f>
        <v>310000</v>
      </c>
      <c r="C69" s="22"/>
      <c r="D69" s="678"/>
      <c r="E69" s="207">
        <f t="shared" ref="E69:E82" si="2">SUM(B69:D69)</f>
        <v>310000</v>
      </c>
      <c r="F69" s="48"/>
    </row>
    <row r="70" spans="1:6" ht="12.75" customHeight="1">
      <c r="A70" s="14" t="s">
        <v>144</v>
      </c>
      <c r="B70" s="20">
        <v>310000</v>
      </c>
      <c r="C70" s="20"/>
      <c r="D70" s="678"/>
      <c r="E70" s="680">
        <f t="shared" si="2"/>
        <v>310000</v>
      </c>
      <c r="F70" s="48"/>
    </row>
    <row r="71" spans="1:6">
      <c r="A71" s="21" t="s">
        <v>166</v>
      </c>
      <c r="B71" s="22">
        <v>67150</v>
      </c>
      <c r="C71" s="22">
        <f>C72+C76</f>
        <v>1160</v>
      </c>
      <c r="D71" s="207">
        <f>SUM(D72:D77)</f>
        <v>23566</v>
      </c>
      <c r="E71" s="207">
        <f t="shared" si="2"/>
        <v>91876</v>
      </c>
    </row>
    <row r="72" spans="1:6">
      <c r="A72" s="14" t="s">
        <v>177</v>
      </c>
      <c r="B72" s="14"/>
      <c r="C72" s="53">
        <v>120</v>
      </c>
      <c r="D72" s="679">
        <v>177</v>
      </c>
      <c r="E72" s="680">
        <f t="shared" si="2"/>
        <v>297</v>
      </c>
    </row>
    <row r="73" spans="1:6">
      <c r="A73" s="24" t="s">
        <v>258</v>
      </c>
      <c r="B73" s="14"/>
      <c r="C73" s="53"/>
      <c r="D73" s="679">
        <v>1100</v>
      </c>
      <c r="E73" s="679">
        <f t="shared" si="2"/>
        <v>1100</v>
      </c>
    </row>
    <row r="74" spans="1:6">
      <c r="A74" s="24" t="s">
        <v>1112</v>
      </c>
      <c r="B74" s="14"/>
      <c r="C74" s="53"/>
      <c r="D74" s="679">
        <f>10370+130</f>
        <v>10500</v>
      </c>
      <c r="E74" s="679">
        <f t="shared" si="2"/>
        <v>10500</v>
      </c>
    </row>
    <row r="75" spans="1:6">
      <c r="A75" s="24" t="s">
        <v>266</v>
      </c>
      <c r="B75" s="14"/>
      <c r="C75" s="53"/>
      <c r="D75" s="679">
        <v>689</v>
      </c>
      <c r="E75" s="679">
        <f t="shared" si="2"/>
        <v>689</v>
      </c>
    </row>
    <row r="76" spans="1:6">
      <c r="A76" s="14" t="s">
        <v>268</v>
      </c>
      <c r="B76" s="14"/>
      <c r="C76" s="53">
        <v>1040</v>
      </c>
      <c r="D76" s="679">
        <v>7500</v>
      </c>
      <c r="E76" s="680">
        <f t="shared" si="2"/>
        <v>8540</v>
      </c>
    </row>
    <row r="77" spans="1:6">
      <c r="A77" s="24" t="s">
        <v>23</v>
      </c>
      <c r="B77" s="48"/>
      <c r="C77" s="48"/>
      <c r="D77" s="679">
        <v>3600</v>
      </c>
      <c r="E77" s="679">
        <f t="shared" si="2"/>
        <v>3600</v>
      </c>
    </row>
    <row r="78" spans="1:6">
      <c r="A78" s="21"/>
      <c r="B78" s="48"/>
      <c r="C78" s="48"/>
      <c r="D78" s="679"/>
      <c r="E78" s="207">
        <f t="shared" si="2"/>
        <v>0</v>
      </c>
    </row>
    <row r="79" spans="1:6">
      <c r="A79" s="17" t="s">
        <v>142</v>
      </c>
      <c r="B79" s="18">
        <f>B80</f>
        <v>8900000</v>
      </c>
      <c r="C79" s="18">
        <f>C80</f>
        <v>145817</v>
      </c>
      <c r="D79" s="679"/>
      <c r="E79" s="678">
        <f t="shared" si="2"/>
        <v>9045817</v>
      </c>
    </row>
    <row r="80" spans="1:6">
      <c r="A80" s="14" t="s">
        <v>154</v>
      </c>
      <c r="B80" s="20">
        <v>8900000</v>
      </c>
      <c r="C80" s="20">
        <v>145817</v>
      </c>
      <c r="D80" s="679"/>
      <c r="E80" s="680">
        <f t="shared" si="2"/>
        <v>9045817</v>
      </c>
    </row>
    <row r="81" spans="1:5">
      <c r="A81" s="23"/>
      <c r="B81" s="48"/>
      <c r="C81" s="48"/>
      <c r="D81" s="679"/>
      <c r="E81" s="679">
        <f t="shared" si="2"/>
        <v>0</v>
      </c>
    </row>
    <row r="82" spans="1:5">
      <c r="A82" s="17" t="s">
        <v>133</v>
      </c>
      <c r="B82" s="5">
        <f>B4+B11+B21+B26+B32+B56+B60+B68+B79</f>
        <v>377888017</v>
      </c>
      <c r="C82" s="5">
        <f>C4+C11+C21+C26+C32+C56+C60+C68+C79</f>
        <v>6747366</v>
      </c>
      <c r="D82" s="678">
        <f>D4+D11+D21+D26+D32+D56+D60+D68</f>
        <v>6535431</v>
      </c>
      <c r="E82" s="678">
        <f t="shared" si="2"/>
        <v>391170814</v>
      </c>
    </row>
    <row r="83" spans="1:5">
      <c r="B83" s="54"/>
      <c r="C83" s="54"/>
      <c r="D83" s="54"/>
    </row>
    <row r="84" spans="1:5">
      <c r="B84" s="54"/>
    </row>
    <row r="85" spans="1:5">
      <c r="B85" s="54"/>
    </row>
  </sheetData>
  <phoneticPr fontId="29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2"/>
  <sheetViews>
    <sheetView workbookViewId="0">
      <selection activeCell="E1" sqref="E1"/>
    </sheetView>
  </sheetViews>
  <sheetFormatPr defaultColWidth="9.140625" defaultRowHeight="12.75"/>
  <cols>
    <col min="1" max="1" width="40" style="11" bestFit="1" customWidth="1"/>
    <col min="2" max="4" width="11.7109375" style="11" customWidth="1"/>
    <col min="5" max="5" width="11.7109375" style="11" bestFit="1" customWidth="1"/>
    <col min="6" max="16384" width="9.140625" style="11"/>
  </cols>
  <sheetData>
    <row r="1" spans="1:6">
      <c r="B1" s="11" t="s">
        <v>702</v>
      </c>
      <c r="C1" s="11" t="s">
        <v>703</v>
      </c>
    </row>
    <row r="2" spans="1:6">
      <c r="A2" s="4" t="s">
        <v>131</v>
      </c>
      <c r="B2" s="9">
        <f ca="1">SUM(B3:B12)</f>
        <v>47508162</v>
      </c>
      <c r="C2" s="9">
        <f t="shared" ref="C2:E2" ca="1" si="0">SUM(C3:C12)</f>
        <v>117022</v>
      </c>
      <c r="D2" s="9">
        <f t="shared" ca="1" si="0"/>
        <v>969094</v>
      </c>
      <c r="E2" s="9">
        <f t="shared" ca="1" si="0"/>
        <v>48594278</v>
      </c>
      <c r="F2" s="4"/>
    </row>
    <row r="3" spans="1:6">
      <c r="A3" s="6" t="s">
        <v>284</v>
      </c>
      <c r="B3" s="9">
        <f ca="1">SUMIF('2.2 OMATULUD'!$A$5:B$815,$A3,'2.2 OMATULUD'!B$5:B$815)</f>
        <v>25846180</v>
      </c>
      <c r="C3" s="9">
        <f ca="1">SUMIF('2.2 OMATULUD'!$A$5:C$815,$A3,'2.2 OMATULUD'!C$5:C$815)</f>
        <v>168736</v>
      </c>
      <c r="D3" s="9">
        <f ca="1">SUMIF('2.2 OMATULUD'!$A$5:D$815,$A3,'2.2 OMATULUD'!D$5:D$815)</f>
        <v>659700</v>
      </c>
      <c r="E3" s="9">
        <f ca="1">SUMIF('2.2 OMATULUD'!$A$5:E$815,$A3,'2.2 OMATULUD'!E$5:E$815)</f>
        <v>26674616</v>
      </c>
      <c r="F3" s="4"/>
    </row>
    <row r="4" spans="1:6">
      <c r="A4" s="6" t="s">
        <v>316</v>
      </c>
      <c r="B4" s="9">
        <f ca="1">SUMIF('2.2 OMATULUD'!$A$5:B$815,$A4,'2.2 OMATULUD'!B$5:B$815)</f>
        <v>4105209</v>
      </c>
      <c r="C4" s="9">
        <f ca="1">SUMIF('2.2 OMATULUD'!$A$5:C$815,$A4,'2.2 OMATULUD'!C$5:C$815)</f>
        <v>-96000</v>
      </c>
      <c r="D4" s="9">
        <f ca="1">SUMIF('2.2 OMATULUD'!$A$5:D$815,$A4,'2.2 OMATULUD'!D$5:D$815)</f>
        <v>-32195</v>
      </c>
      <c r="E4" s="9">
        <f ca="1">SUMIF('2.2 OMATULUD'!$A$5:E$815,$A4,'2.2 OMATULUD'!E$5:E$815)</f>
        <v>3977014</v>
      </c>
      <c r="F4" s="4"/>
    </row>
    <row r="5" spans="1:6">
      <c r="A5" s="6" t="s">
        <v>286</v>
      </c>
      <c r="B5" s="9">
        <f ca="1">SUMIF('2.2 OMATULUD'!$A$5:B$815,$A5,'2.2 OMATULUD'!B$5:B$815)</f>
        <v>5362777</v>
      </c>
      <c r="C5" s="9">
        <f ca="1">SUMIF('2.2 OMATULUD'!$A$5:C$815,$A5,'2.2 OMATULUD'!C$5:C$815)</f>
        <v>4775</v>
      </c>
      <c r="D5" s="9">
        <f ca="1">SUMIF('2.2 OMATULUD'!$A$5:D$815,$A5,'2.2 OMATULUD'!D$5:D$815)</f>
        <v>56635</v>
      </c>
      <c r="E5" s="9">
        <f ca="1">SUMIF('2.2 OMATULUD'!$A$5:E$815,$A5,'2.2 OMATULUD'!E$5:E$815)</f>
        <v>5424187</v>
      </c>
      <c r="F5" s="4"/>
    </row>
    <row r="6" spans="1:6">
      <c r="A6" s="6" t="s">
        <v>352</v>
      </c>
      <c r="B6" s="9">
        <f ca="1">SUMIF('2.2 OMATULUD'!$A$5:B$815,$A6,'2.2 OMATULUD'!B$5:B$815)</f>
        <v>3004000</v>
      </c>
      <c r="C6" s="9">
        <f ca="1">SUMIF('2.2 OMATULUD'!$A$5:C$815,$A6,'2.2 OMATULUD'!C$5:C$815)</f>
        <v>0</v>
      </c>
      <c r="D6" s="9">
        <f ca="1">SUMIF('2.2 OMATULUD'!$A$5:D$815,$A6,'2.2 OMATULUD'!D$5:D$815)</f>
        <v>260000</v>
      </c>
      <c r="E6" s="9">
        <f ca="1">SUMIF('2.2 OMATULUD'!$A$5:E$815,$A6,'2.2 OMATULUD'!E$5:E$815)</f>
        <v>3264000</v>
      </c>
      <c r="F6" s="4"/>
    </row>
    <row r="7" spans="1:6">
      <c r="A7" s="6" t="s">
        <v>320</v>
      </c>
      <c r="B7" s="9">
        <f ca="1">SUMIF('2.2 OMATULUD'!$A$5:B$815,$A7,'2.2 OMATULUD'!B$5:B$815)</f>
        <v>0</v>
      </c>
      <c r="C7" s="9">
        <f ca="1">SUMIF('2.2 OMATULUD'!$A$5:C$815,$A7,'2.2 OMATULUD'!C$5:C$815)</f>
        <v>0</v>
      </c>
      <c r="D7" s="9">
        <f ca="1">SUMIF('2.2 OMATULUD'!$A$5:D$815,$A7,'2.2 OMATULUD'!D$5:D$815)</f>
        <v>25</v>
      </c>
      <c r="E7" s="9">
        <f ca="1">SUMIF('2.2 OMATULUD'!$A$5:E$815,$A7,'2.2 OMATULUD'!E$5:E$815)</f>
        <v>25</v>
      </c>
      <c r="F7" s="4"/>
    </row>
    <row r="8" spans="1:6">
      <c r="A8" s="6" t="s">
        <v>322</v>
      </c>
      <c r="B8" s="9">
        <f ca="1">SUMIF('2.2 OMATULUD'!$A$5:B$815,$A8,'2.2 OMATULUD'!B$5:B$815)</f>
        <v>2563908</v>
      </c>
      <c r="C8" s="9">
        <f ca="1">SUMIF('2.2 OMATULUD'!$A$5:C$815,$A8,'2.2 OMATULUD'!C$5:C$815)</f>
        <v>27771</v>
      </c>
      <c r="D8" s="9">
        <f ca="1">SUMIF('2.2 OMATULUD'!$A$5:D$815,$A8,'2.2 OMATULUD'!D$5:D$815)</f>
        <v>42473</v>
      </c>
      <c r="E8" s="9">
        <f ca="1">SUMIF('2.2 OMATULUD'!$A$5:E$815,$A8,'2.2 OMATULUD'!E$5:E$815)</f>
        <v>2634152</v>
      </c>
      <c r="F8" s="4"/>
    </row>
    <row r="9" spans="1:6">
      <c r="A9" s="6" t="s">
        <v>287</v>
      </c>
      <c r="B9" s="9">
        <f ca="1">SUMIF('2.2 OMATULUD'!$A$5:B$815,$A9,'2.2 OMATULUD'!B$5:B$815)</f>
        <v>4979668</v>
      </c>
      <c r="C9" s="9">
        <f ca="1">SUMIF('2.2 OMATULUD'!$A$5:C$815,$A9,'2.2 OMATULUD'!C$5:C$815)</f>
        <v>-18410</v>
      </c>
      <c r="D9" s="9">
        <f ca="1">SUMIF('2.2 OMATULUD'!$A$5:D$815,$A9,'2.2 OMATULUD'!D$5:D$815)</f>
        <v>-19069</v>
      </c>
      <c r="E9" s="9">
        <f ca="1">SUMIF('2.2 OMATULUD'!$A$5:E$815,$A9,'2.2 OMATULUD'!E$5:E$815)</f>
        <v>4942189</v>
      </c>
      <c r="F9" s="4"/>
    </row>
    <row r="10" spans="1:6">
      <c r="A10" s="6" t="s">
        <v>332</v>
      </c>
      <c r="B10" s="9">
        <f ca="1">SUMIF('2.2 OMATULUD'!$A$5:B$815,$A10,'2.2 OMATULUD'!B$5:B$815)</f>
        <v>224660</v>
      </c>
      <c r="C10" s="9">
        <f ca="1">SUMIF('2.2 OMATULUD'!$A$5:C$815,$A10,'2.2 OMATULUD'!C$5:C$815)</f>
        <v>30150</v>
      </c>
      <c r="D10" s="9">
        <f ca="1">SUMIF('2.2 OMATULUD'!$A$5:D$815,$A10,'2.2 OMATULUD'!D$5:D$815)</f>
        <v>1525</v>
      </c>
      <c r="E10" s="9">
        <f ca="1">SUMIF('2.2 OMATULUD'!$A$5:E$815,$A10,'2.2 OMATULUD'!E$5:E$815)</f>
        <v>256335</v>
      </c>
      <c r="F10" s="4"/>
    </row>
    <row r="11" spans="1:6">
      <c r="A11" s="6" t="s">
        <v>279</v>
      </c>
      <c r="B11" s="9">
        <f ca="1">SUMIF('2.2 OMATULUD'!$A$5:B$815,$A11,'2.2 OMATULUD'!B$5:B$815)</f>
        <v>212860</v>
      </c>
      <c r="C11" s="9">
        <f ca="1">SUMIF('2.2 OMATULUD'!$A$5:C$815,$A11,'2.2 OMATULUD'!C$5:C$815)</f>
        <v>0</v>
      </c>
      <c r="D11" s="9">
        <f ca="1">SUMIF('2.2 OMATULUD'!$A$5:D$815,$A11,'2.2 OMATULUD'!D$5:D$815)</f>
        <v>0</v>
      </c>
      <c r="E11" s="9">
        <f ca="1">SUMIF('2.2 OMATULUD'!$A$5:E$815,$A11,'2.2 OMATULUD'!E$5:E$815)</f>
        <v>212860</v>
      </c>
      <c r="F11" s="4"/>
    </row>
    <row r="12" spans="1:6">
      <c r="A12" s="7" t="s">
        <v>341</v>
      </c>
      <c r="B12" s="9">
        <f ca="1">SUMIF('2.2 OMATULUD'!$A$5:B$815,$A12,'2.2 OMATULUD'!B$5:B$815)</f>
        <v>1208900</v>
      </c>
      <c r="C12" s="9">
        <f ca="1">SUMIF('2.2 OMATULUD'!$A$5:C$815,$A12,'2.2 OMATULUD'!C$5:C$815)</f>
        <v>0</v>
      </c>
      <c r="D12" s="9">
        <f ca="1">SUMIF('2.2 OMATULUD'!$A$5:D$815,$A12,'2.2 OMATULUD'!D$5:D$815)</f>
        <v>0</v>
      </c>
      <c r="E12" s="9">
        <f ca="1">SUMIF('2.2 OMATULUD'!$A$5:E$815,$A12,'2.2 OMATULUD'!E$5:E$815)</f>
        <v>1208900</v>
      </c>
      <c r="F12" s="4"/>
    </row>
    <row r="13" spans="1:6">
      <c r="A13" s="4" t="s">
        <v>307</v>
      </c>
      <c r="B13" s="9">
        <f ca="1">SUMIF('2.2 OMATULUD'!$A$5:B$815,$A13,'2.2 OMATULUD'!B$5:B$815)</f>
        <v>180000</v>
      </c>
      <c r="C13" s="9">
        <f ca="1">SUMIF('2.2 OMATULUD'!$A$5:C$815,$A13,'2.2 OMATULUD'!C$5:C$815)</f>
        <v>0</v>
      </c>
      <c r="D13" s="9">
        <f ca="1">SUMIF('2.2 OMATULUD'!$A$5:D$815,$A13,'2.2 OMATULUD'!D$5:D$815)</f>
        <v>0</v>
      </c>
      <c r="E13" s="9">
        <f ca="1">SUMIF('2.2 OMATULUD'!$A$5:E$815,$A13,'2.2 OMATULUD'!E$5:E$815)</f>
        <v>180000</v>
      </c>
      <c r="F13" s="4"/>
    </row>
    <row r="14" spans="1:6">
      <c r="A14" s="4" t="s">
        <v>275</v>
      </c>
      <c r="B14" s="9">
        <f ca="1">SUMIF('2.2 OMATULUD'!$A$5:B$815,$A14,'2.2 OMATULUD'!B$5:B$815)</f>
        <v>3590136</v>
      </c>
      <c r="C14" s="9">
        <f ca="1">SUMIF('2.2 OMATULUD'!$A$5:C$815,$A14,'2.2 OMATULUD'!C$5:C$815)</f>
        <v>-45273</v>
      </c>
      <c r="D14" s="9">
        <f ca="1">SUMIF('2.2 OMATULUD'!$A$5:D$815,$A14,'2.2 OMATULUD'!D$5:D$815)</f>
        <v>341835</v>
      </c>
      <c r="E14" s="9">
        <f ca="1">SUMIF('2.2 OMATULUD'!$A$5:E$815,$A14,'2.2 OMATULUD'!E$5:E$815)</f>
        <v>3886698</v>
      </c>
      <c r="F14" s="4"/>
    </row>
    <row r="15" spans="1:6">
      <c r="A15" s="4" t="s">
        <v>311</v>
      </c>
      <c r="B15" s="9">
        <f ca="1">SUMIF('2.2 OMATULUD'!$A$5:B$815,$A15,'2.2 OMATULUD'!B$5:B$815)</f>
        <v>2555237</v>
      </c>
      <c r="C15" s="9">
        <f ca="1">SUMIF('2.2 OMATULUD'!$A$5:C$815,$A15,'2.2 OMATULUD'!C$5:C$815)</f>
        <v>-171650</v>
      </c>
      <c r="D15" s="9">
        <f ca="1">SUMIF('2.2 OMATULUD'!$A$5:D$815,$A15,'2.2 OMATULUD'!D$5:D$815)</f>
        <v>36390</v>
      </c>
      <c r="E15" s="9">
        <f ca="1">SUMIF('2.2 OMATULUD'!$A$5:E$815,$A15,'2.2 OMATULUD'!E$5:E$815)</f>
        <v>2419977</v>
      </c>
      <c r="F15" s="4"/>
    </row>
    <row r="16" spans="1:6">
      <c r="A16" s="4" t="s">
        <v>271</v>
      </c>
      <c r="B16" s="9">
        <f ca="1">SUMIF('2.2 OMATULUD'!$A$5:B$815,$A16,'2.2 OMATULUD'!B$5:B$815)</f>
        <v>8199980</v>
      </c>
      <c r="C16" s="9">
        <f ca="1">SUMIF('2.2 OMATULUD'!$A$5:C$815,$A16,'2.2 OMATULUD'!C$5:C$815)</f>
        <v>36458</v>
      </c>
      <c r="D16" s="9">
        <f ca="1">SUMIF('2.2 OMATULUD'!$A$5:D$815,$A16,'2.2 OMATULUD'!D$5:D$815)</f>
        <v>-21902</v>
      </c>
      <c r="E16" s="9">
        <f ca="1">SUMIF('2.2 OMATULUD'!$A$5:E$815,$A16,'2.2 OMATULUD'!E$5:E$815)</f>
        <v>8214536</v>
      </c>
      <c r="F16" s="4"/>
    </row>
    <row r="17" spans="1:6">
      <c r="A17" s="223" t="s">
        <v>132</v>
      </c>
      <c r="B17" s="9">
        <f ca="1">SUMIF('2.2 OMATULUD'!$A$5:B$815,$A17,'2.2 OMATULUD'!B$5:B$815)</f>
        <v>0</v>
      </c>
      <c r="C17" s="9">
        <f ca="1">SUMIF('2.2 OMATULUD'!$A$5:C$815,$A17,'2.2 OMATULUD'!C$5:C$815)</f>
        <v>0</v>
      </c>
      <c r="D17" s="9">
        <f ca="1">SUMIF('2.2 OMATULUD'!$A$5:D$815,$A17,'2.2 OMATULUD'!D$5:D$815)</f>
        <v>0</v>
      </c>
      <c r="E17" s="9">
        <f ca="1">SUMIF('2.2 OMATULUD'!$A$5:E$815,$A17,'2.2 OMATULUD'!E$5:E$815)</f>
        <v>0</v>
      </c>
      <c r="F17" s="4"/>
    </row>
    <row r="18" spans="1:6">
      <c r="A18" s="60" t="s">
        <v>532</v>
      </c>
      <c r="B18" s="9">
        <f ca="1">SUMIF('2.2 OMATULUD'!$A$5:B$815,$A18,'2.2 OMATULUD'!B$5:B$815)</f>
        <v>-230000</v>
      </c>
      <c r="C18" s="9">
        <f ca="1">SUMIF('2.2 OMATULUD'!$A$5:C$815,$A18,'2.2 OMATULUD'!C$5:C$815)</f>
        <v>0</v>
      </c>
      <c r="D18" s="9">
        <f ca="1">SUMIF('2.2 OMATULUD'!$A$5:D$815,$A18,'2.2 OMATULUD'!D$5:D$815)</f>
        <v>0</v>
      </c>
      <c r="E18" s="9">
        <f ca="1">SUMIF('2.2 OMATULUD'!$A$5:E$815,$A18,'2.2 OMATULUD'!E$5:E$815)</f>
        <v>-230000</v>
      </c>
      <c r="F18" s="4"/>
    </row>
    <row r="19" spans="1:6">
      <c r="A19" s="3" t="s">
        <v>133</v>
      </c>
      <c r="B19" s="10">
        <f ca="1">B13+B14+B15+B16+B2+B18</f>
        <v>61803515</v>
      </c>
      <c r="C19" s="10">
        <f t="shared" ref="C19:E19" ca="1" si="1">C13+C14+C15+C16+C2+C18</f>
        <v>-63443</v>
      </c>
      <c r="D19" s="10">
        <f t="shared" ca="1" si="1"/>
        <v>1325417</v>
      </c>
      <c r="E19" s="10">
        <f t="shared" ca="1" si="1"/>
        <v>63065489</v>
      </c>
      <c r="F19" s="4"/>
    </row>
    <row r="20" spans="1:6">
      <c r="A20" s="4"/>
      <c r="B20" s="52">
        <f ca="1">B19-'2.2 OMATULUD'!B815</f>
        <v>0</v>
      </c>
      <c r="C20" s="52">
        <f ca="1">C19-'2.2 OMATULUD'!C815</f>
        <v>0</v>
      </c>
      <c r="D20" s="52">
        <f ca="1">D19-'2.2 OMATULUD'!D815</f>
        <v>0</v>
      </c>
      <c r="E20" s="52">
        <f ca="1">E19-'2.2 OMATULUD'!E815</f>
        <v>0</v>
      </c>
      <c r="F20" s="4"/>
    </row>
    <row r="21" spans="1:6">
      <c r="A21" s="11" t="s">
        <v>676</v>
      </c>
      <c r="F21" s="4"/>
    </row>
    <row r="22" spans="1:6">
      <c r="F22" s="4"/>
    </row>
    <row r="24" spans="1:6">
      <c r="A24" s="226"/>
      <c r="B24" s="227"/>
      <c r="C24" s="227"/>
      <c r="D24" s="227"/>
      <c r="E24" s="227"/>
    </row>
    <row r="25" spans="1:6">
      <c r="A25" s="59"/>
      <c r="B25" s="34"/>
      <c r="C25" s="34"/>
      <c r="D25" s="34"/>
      <c r="E25" s="34"/>
    </row>
    <row r="26" spans="1:6">
      <c r="A26" s="59"/>
      <c r="B26" s="34"/>
      <c r="C26" s="34"/>
      <c r="D26" s="34"/>
      <c r="E26" s="34"/>
    </row>
    <row r="30" spans="1:6">
      <c r="A30" s="226"/>
      <c r="B30" s="227"/>
      <c r="C30" s="227"/>
      <c r="D30" s="227"/>
      <c r="E30" s="227"/>
    </row>
    <row r="31" spans="1:6">
      <c r="A31" s="224"/>
      <c r="B31" s="34"/>
      <c r="C31" s="34"/>
      <c r="D31" s="34"/>
      <c r="E31" s="34"/>
    </row>
    <row r="32" spans="1:6">
      <c r="A32" s="225"/>
      <c r="B32" s="34"/>
      <c r="C32" s="34"/>
      <c r="D32" s="34"/>
      <c r="E32" s="34"/>
    </row>
  </sheetData>
  <phoneticPr fontId="29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815"/>
  <sheetViews>
    <sheetView showZeros="0" zoomScaleNormal="100" workbookViewId="0"/>
  </sheetViews>
  <sheetFormatPr defaultColWidth="9.140625" defaultRowHeight="12.75"/>
  <cols>
    <col min="1" max="1" width="57.5703125" style="21" customWidth="1"/>
    <col min="2" max="2" width="10.7109375" style="207" bestFit="1" customWidth="1"/>
    <col min="3" max="4" width="10.42578125" style="207" hidden="1" customWidth="1"/>
    <col min="5" max="5" width="10.7109375" style="207" bestFit="1" customWidth="1"/>
    <col min="6" max="16384" width="9.140625" style="50"/>
  </cols>
  <sheetData>
    <row r="1" spans="1:5" ht="15">
      <c r="A1" s="1" t="s">
        <v>269</v>
      </c>
      <c r="B1" s="8"/>
      <c r="C1" s="8"/>
      <c r="D1" s="8"/>
      <c r="E1" s="8"/>
    </row>
    <row r="2" spans="1:5" ht="15">
      <c r="A2" s="1"/>
      <c r="B2" s="8"/>
      <c r="C2" s="8"/>
      <c r="D2" s="8"/>
      <c r="E2" s="528" t="s">
        <v>134</v>
      </c>
    </row>
    <row r="3" spans="1:5" ht="25.5">
      <c r="B3" s="471" t="s">
        <v>702</v>
      </c>
      <c r="C3" s="471" t="s">
        <v>700</v>
      </c>
      <c r="D3" s="471" t="s">
        <v>1067</v>
      </c>
      <c r="E3" s="471" t="s">
        <v>701</v>
      </c>
    </row>
    <row r="5" spans="1:5" s="199" customFormat="1">
      <c r="A5" s="639" t="s">
        <v>270</v>
      </c>
      <c r="B5" s="640">
        <f>B6</f>
        <v>27617</v>
      </c>
      <c r="C5" s="640">
        <f>C6</f>
        <v>-170</v>
      </c>
      <c r="D5" s="640"/>
      <c r="E5" s="640">
        <f>SUM(B5:D5)</f>
        <v>27447</v>
      </c>
    </row>
    <row r="6" spans="1:5" s="201" customFormat="1">
      <c r="A6" s="641" t="s">
        <v>271</v>
      </c>
      <c r="B6" s="642">
        <f>B8+B7</f>
        <v>27617</v>
      </c>
      <c r="C6" s="642">
        <f>C8+C7</f>
        <v>-170</v>
      </c>
      <c r="D6" s="642"/>
      <c r="E6" s="642">
        <f t="shared" ref="E6:E69" si="0">SUM(B6:D6)</f>
        <v>27447</v>
      </c>
    </row>
    <row r="7" spans="1:5" s="199" customFormat="1">
      <c r="A7" s="643" t="s">
        <v>272</v>
      </c>
      <c r="B7" s="644">
        <v>21047</v>
      </c>
      <c r="C7" s="644"/>
      <c r="D7" s="644"/>
      <c r="E7" s="644">
        <f t="shared" si="0"/>
        <v>21047</v>
      </c>
    </row>
    <row r="8" spans="1:5">
      <c r="A8" s="643" t="s">
        <v>273</v>
      </c>
      <c r="B8" s="644">
        <v>6570</v>
      </c>
      <c r="C8" s="644">
        <v>-170</v>
      </c>
      <c r="D8" s="644"/>
      <c r="E8" s="644">
        <f t="shared" si="0"/>
        <v>6400</v>
      </c>
    </row>
    <row r="9" spans="1:5" s="199" customFormat="1">
      <c r="A9" s="643"/>
      <c r="B9" s="644"/>
      <c r="C9" s="644"/>
      <c r="D9" s="644"/>
      <c r="E9" s="644">
        <f t="shared" si="0"/>
        <v>0</v>
      </c>
    </row>
    <row r="10" spans="1:5">
      <c r="A10" s="639" t="s">
        <v>274</v>
      </c>
      <c r="B10" s="640">
        <f>B11+B14</f>
        <v>671159</v>
      </c>
      <c r="C10" s="640">
        <f>C11</f>
        <v>-100000</v>
      </c>
      <c r="D10" s="640"/>
      <c r="E10" s="640">
        <f t="shared" si="0"/>
        <v>571159</v>
      </c>
    </row>
    <row r="11" spans="1:5" s="199" customFormat="1">
      <c r="A11" s="641" t="s">
        <v>275</v>
      </c>
      <c r="B11" s="642">
        <f>B12+B13</f>
        <v>240996</v>
      </c>
      <c r="C11" s="642">
        <f>C12+C13</f>
        <v>-100000</v>
      </c>
      <c r="D11" s="642"/>
      <c r="E11" s="642">
        <f t="shared" si="0"/>
        <v>140996</v>
      </c>
    </row>
    <row r="12" spans="1:5">
      <c r="A12" s="645" t="s">
        <v>276</v>
      </c>
      <c r="B12" s="646">
        <v>129800</v>
      </c>
      <c r="C12" s="646">
        <v>-100000</v>
      </c>
      <c r="D12" s="646"/>
      <c r="E12" s="646">
        <f t="shared" si="0"/>
        <v>29800</v>
      </c>
    </row>
    <row r="13" spans="1:5">
      <c r="A13" s="645" t="s">
        <v>277</v>
      </c>
      <c r="B13" s="646">
        <v>111196</v>
      </c>
      <c r="C13" s="646"/>
      <c r="D13" s="646"/>
      <c r="E13" s="646">
        <f t="shared" si="0"/>
        <v>111196</v>
      </c>
    </row>
    <row r="14" spans="1:5">
      <c r="A14" s="641" t="s">
        <v>271</v>
      </c>
      <c r="B14" s="642">
        <f>B15+B16</f>
        <v>430163</v>
      </c>
      <c r="C14" s="642"/>
      <c r="D14" s="642"/>
      <c r="E14" s="642">
        <f t="shared" si="0"/>
        <v>430163</v>
      </c>
    </row>
    <row r="15" spans="1:5" s="201" customFormat="1">
      <c r="A15" s="643" t="s">
        <v>272</v>
      </c>
      <c r="B15" s="644">
        <v>362421</v>
      </c>
      <c r="C15" s="644"/>
      <c r="D15" s="644"/>
      <c r="E15" s="644">
        <f t="shared" si="0"/>
        <v>362421</v>
      </c>
    </row>
    <row r="16" spans="1:5">
      <c r="A16" s="643" t="s">
        <v>273</v>
      </c>
      <c r="B16" s="644">
        <v>67742</v>
      </c>
      <c r="C16" s="644"/>
      <c r="D16" s="644"/>
      <c r="E16" s="644">
        <f t="shared" si="0"/>
        <v>67742</v>
      </c>
    </row>
    <row r="17" spans="1:5" s="199" customFormat="1">
      <c r="A17" s="643"/>
      <c r="B17" s="644"/>
      <c r="C17" s="644"/>
      <c r="D17" s="644"/>
      <c r="E17" s="644">
        <f t="shared" si="0"/>
        <v>0</v>
      </c>
    </row>
    <row r="18" spans="1:5">
      <c r="A18" s="639" t="s">
        <v>278</v>
      </c>
      <c r="B18" s="640">
        <f>B19+B21</f>
        <v>34893</v>
      </c>
      <c r="C18" s="640"/>
      <c r="D18" s="640"/>
      <c r="E18" s="640">
        <f t="shared" si="0"/>
        <v>34893</v>
      </c>
    </row>
    <row r="19" spans="1:5">
      <c r="A19" s="641" t="s">
        <v>279</v>
      </c>
      <c r="B19" s="642">
        <f>B20</f>
        <v>6300</v>
      </c>
      <c r="C19" s="642"/>
      <c r="D19" s="642"/>
      <c r="E19" s="642">
        <f t="shared" si="0"/>
        <v>6300</v>
      </c>
    </row>
    <row r="20" spans="1:5">
      <c r="A20" s="643" t="s">
        <v>280</v>
      </c>
      <c r="B20" s="644">
        <v>6300</v>
      </c>
      <c r="C20" s="644"/>
      <c r="D20" s="644"/>
      <c r="E20" s="644">
        <f t="shared" si="0"/>
        <v>6300</v>
      </c>
    </row>
    <row r="21" spans="1:5">
      <c r="A21" s="641" t="s">
        <v>271</v>
      </c>
      <c r="B21" s="642">
        <f>B22+B23</f>
        <v>28593</v>
      </c>
      <c r="C21" s="642"/>
      <c r="D21" s="642"/>
      <c r="E21" s="642">
        <f t="shared" si="0"/>
        <v>28593</v>
      </c>
    </row>
    <row r="22" spans="1:5">
      <c r="A22" s="643" t="s">
        <v>272</v>
      </c>
      <c r="B22" s="644">
        <v>17093</v>
      </c>
      <c r="C22" s="644"/>
      <c r="D22" s="644"/>
      <c r="E22" s="644">
        <f t="shared" si="0"/>
        <v>17093</v>
      </c>
    </row>
    <row r="23" spans="1:5">
      <c r="A23" s="643" t="s">
        <v>273</v>
      </c>
      <c r="B23" s="644">
        <v>11500</v>
      </c>
      <c r="C23" s="644"/>
      <c r="D23" s="644"/>
      <c r="E23" s="644">
        <f t="shared" si="0"/>
        <v>11500</v>
      </c>
    </row>
    <row r="24" spans="1:5">
      <c r="A24" s="641"/>
      <c r="B24" s="642"/>
      <c r="C24" s="642"/>
      <c r="D24" s="642"/>
      <c r="E24" s="642">
        <f t="shared" si="0"/>
        <v>0</v>
      </c>
    </row>
    <row r="25" spans="1:5">
      <c r="A25" s="639" t="s">
        <v>281</v>
      </c>
      <c r="B25" s="640">
        <f>B26+B28</f>
        <v>221343</v>
      </c>
      <c r="C25" s="640"/>
      <c r="D25" s="640"/>
      <c r="E25" s="640">
        <f t="shared" si="0"/>
        <v>221343</v>
      </c>
    </row>
    <row r="26" spans="1:5">
      <c r="A26" s="641" t="s">
        <v>279</v>
      </c>
      <c r="B26" s="642">
        <f>B27</f>
        <v>195500</v>
      </c>
      <c r="C26" s="642"/>
      <c r="D26" s="642"/>
      <c r="E26" s="642">
        <f t="shared" si="0"/>
        <v>195500</v>
      </c>
    </row>
    <row r="27" spans="1:5">
      <c r="A27" s="643" t="s">
        <v>280</v>
      </c>
      <c r="B27" s="644">
        <v>195500</v>
      </c>
      <c r="C27" s="644"/>
      <c r="D27" s="644"/>
      <c r="E27" s="644">
        <f t="shared" si="0"/>
        <v>195500</v>
      </c>
    </row>
    <row r="28" spans="1:5">
      <c r="A28" s="641" t="s">
        <v>271</v>
      </c>
      <c r="B28" s="642">
        <f>B29+B30</f>
        <v>25843</v>
      </c>
      <c r="C28" s="642"/>
      <c r="D28" s="642"/>
      <c r="E28" s="642">
        <f t="shared" si="0"/>
        <v>25843</v>
      </c>
    </row>
    <row r="29" spans="1:5">
      <c r="A29" s="643" t="s">
        <v>272</v>
      </c>
      <c r="B29" s="644">
        <v>23763</v>
      </c>
      <c r="C29" s="644"/>
      <c r="D29" s="644"/>
      <c r="E29" s="644">
        <f t="shared" si="0"/>
        <v>23763</v>
      </c>
    </row>
    <row r="30" spans="1:5">
      <c r="A30" s="643" t="s">
        <v>273</v>
      </c>
      <c r="B30" s="644">
        <v>2080</v>
      </c>
      <c r="C30" s="644"/>
      <c r="D30" s="644"/>
      <c r="E30" s="644">
        <f t="shared" si="0"/>
        <v>2080</v>
      </c>
    </row>
    <row r="31" spans="1:5" s="199" customFormat="1">
      <c r="A31" s="643"/>
      <c r="B31" s="644"/>
      <c r="C31" s="644"/>
      <c r="D31" s="644"/>
      <c r="E31" s="644">
        <f t="shared" si="0"/>
        <v>0</v>
      </c>
    </row>
    <row r="32" spans="1:5">
      <c r="A32" s="639" t="s">
        <v>282</v>
      </c>
      <c r="B32" s="640">
        <f>B34+B47+B62+B81+B95+B113+B89</f>
        <v>29027000</v>
      </c>
      <c r="C32" s="640">
        <f>C34+C47+C62+C81+C113+C89+C95</f>
        <v>307718</v>
      </c>
      <c r="D32" s="640">
        <f>D34+D47+D62+D81+D95+D113+D89</f>
        <v>726135</v>
      </c>
      <c r="E32" s="640">
        <f t="shared" si="0"/>
        <v>30060853</v>
      </c>
    </row>
    <row r="33" spans="1:5">
      <c r="A33" s="647"/>
      <c r="B33" s="648"/>
      <c r="C33" s="648"/>
      <c r="D33" s="648"/>
      <c r="E33" s="648">
        <f t="shared" si="0"/>
        <v>0</v>
      </c>
    </row>
    <row r="34" spans="1:5">
      <c r="A34" s="641" t="s">
        <v>283</v>
      </c>
      <c r="B34" s="642">
        <f>B35+B37+B41+B44+B39</f>
        <v>3909340</v>
      </c>
      <c r="C34" s="642">
        <f>C35+C37+C41+C44+C39</f>
        <v>87580</v>
      </c>
      <c r="D34" s="642">
        <f>D35+D37+D41+D44+D39</f>
        <v>360000</v>
      </c>
      <c r="E34" s="642">
        <f t="shared" si="0"/>
        <v>4356920</v>
      </c>
    </row>
    <row r="35" spans="1:5">
      <c r="A35" s="641" t="s">
        <v>284</v>
      </c>
      <c r="B35" s="642">
        <f>B36</f>
        <v>3579120</v>
      </c>
      <c r="C35" s="642">
        <f t="shared" ref="C35" si="1">C36</f>
        <v>0</v>
      </c>
      <c r="D35" s="642">
        <f>D36</f>
        <v>360000</v>
      </c>
      <c r="E35" s="642">
        <f t="shared" si="0"/>
        <v>3939120</v>
      </c>
    </row>
    <row r="36" spans="1:5" ht="25.5">
      <c r="A36" s="645" t="s">
        <v>285</v>
      </c>
      <c r="B36" s="646">
        <v>3579120</v>
      </c>
      <c r="C36" s="646"/>
      <c r="D36" s="646">
        <v>360000</v>
      </c>
      <c r="E36" s="646">
        <f t="shared" si="0"/>
        <v>3939120</v>
      </c>
    </row>
    <row r="37" spans="1:5">
      <c r="A37" s="641" t="s">
        <v>286</v>
      </c>
      <c r="B37" s="642">
        <f>B38</f>
        <v>99660</v>
      </c>
      <c r="C37" s="642">
        <f t="shared" ref="C37" si="2">C38</f>
        <v>57480</v>
      </c>
      <c r="D37" s="642"/>
      <c r="E37" s="642">
        <f t="shared" si="0"/>
        <v>157140</v>
      </c>
    </row>
    <row r="38" spans="1:5" ht="25.5">
      <c r="A38" s="645" t="s">
        <v>387</v>
      </c>
      <c r="B38" s="646">
        <v>99660</v>
      </c>
      <c r="C38" s="646">
        <v>57480</v>
      </c>
      <c r="D38" s="646"/>
      <c r="E38" s="646">
        <f t="shared" si="0"/>
        <v>157140</v>
      </c>
    </row>
    <row r="39" spans="1:5">
      <c r="A39" s="641" t="s">
        <v>287</v>
      </c>
      <c r="B39" s="642">
        <f>B40</f>
        <v>92760</v>
      </c>
      <c r="C39" s="642">
        <f t="shared" ref="C39" si="3">C40</f>
        <v>30100</v>
      </c>
      <c r="D39" s="642"/>
      <c r="E39" s="642">
        <f t="shared" si="0"/>
        <v>122860</v>
      </c>
    </row>
    <row r="40" spans="1:5" ht="25.5">
      <c r="A40" s="645" t="s">
        <v>387</v>
      </c>
      <c r="B40" s="646">
        <v>92760</v>
      </c>
      <c r="C40" s="646">
        <v>30100</v>
      </c>
      <c r="D40" s="646"/>
      <c r="E40" s="646">
        <f t="shared" si="0"/>
        <v>122860</v>
      </c>
    </row>
    <row r="41" spans="1:5">
      <c r="A41" s="641" t="s">
        <v>271</v>
      </c>
      <c r="B41" s="642">
        <f>B42+B43</f>
        <v>137600</v>
      </c>
      <c r="C41" s="642">
        <f t="shared" ref="C41" si="4">C42+C43</f>
        <v>0</v>
      </c>
      <c r="D41" s="642"/>
      <c r="E41" s="642">
        <f t="shared" si="0"/>
        <v>137600</v>
      </c>
    </row>
    <row r="42" spans="1:5">
      <c r="A42" s="643" t="s">
        <v>272</v>
      </c>
      <c r="B42" s="644">
        <v>76000</v>
      </c>
      <c r="C42" s="644"/>
      <c r="D42" s="644"/>
      <c r="E42" s="644">
        <f t="shared" si="0"/>
        <v>76000</v>
      </c>
    </row>
    <row r="43" spans="1:5">
      <c r="A43" s="643" t="s">
        <v>273</v>
      </c>
      <c r="B43" s="644">
        <v>61600</v>
      </c>
      <c r="C43" s="644"/>
      <c r="D43" s="644"/>
      <c r="E43" s="644">
        <f t="shared" si="0"/>
        <v>61600</v>
      </c>
    </row>
    <row r="44" spans="1:5">
      <c r="A44" s="641" t="s">
        <v>275</v>
      </c>
      <c r="B44" s="642">
        <f>B45</f>
        <v>200</v>
      </c>
      <c r="C44" s="642">
        <f t="shared" ref="C44" si="5">C45</f>
        <v>0</v>
      </c>
      <c r="D44" s="642"/>
      <c r="E44" s="642">
        <f t="shared" si="0"/>
        <v>200</v>
      </c>
    </row>
    <row r="45" spans="1:5">
      <c r="A45" s="649" t="s">
        <v>277</v>
      </c>
      <c r="B45" s="650">
        <v>200</v>
      </c>
      <c r="C45" s="650"/>
      <c r="D45" s="650"/>
      <c r="E45" s="650">
        <f t="shared" si="0"/>
        <v>200</v>
      </c>
    </row>
    <row r="46" spans="1:5">
      <c r="A46" s="643"/>
      <c r="B46" s="644"/>
      <c r="C46" s="644"/>
      <c r="D46" s="644"/>
      <c r="E46" s="644">
        <f t="shared" si="0"/>
        <v>0</v>
      </c>
    </row>
    <row r="47" spans="1:5">
      <c r="A47" s="641" t="s">
        <v>290</v>
      </c>
      <c r="B47" s="642">
        <f>B48+B55</f>
        <v>19018465</v>
      </c>
      <c r="C47" s="642">
        <f>C48+C55+C59</f>
        <v>-19820</v>
      </c>
      <c r="D47" s="642">
        <f t="shared" ref="D47" si="6">D48+D55+D59</f>
        <v>-46829</v>
      </c>
      <c r="E47" s="642">
        <f t="shared" si="0"/>
        <v>18951816</v>
      </c>
    </row>
    <row r="48" spans="1:5">
      <c r="A48" s="641" t="s">
        <v>284</v>
      </c>
      <c r="B48" s="642">
        <f>SUM(B49:B54)</f>
        <v>18868055</v>
      </c>
      <c r="C48" s="642">
        <f>SUM(C49:C54)</f>
        <v>-42680</v>
      </c>
      <c r="D48" s="651">
        <f>SUM(D49:D54)</f>
        <v>-56053</v>
      </c>
      <c r="E48" s="642">
        <f t="shared" si="0"/>
        <v>18769322</v>
      </c>
    </row>
    <row r="49" spans="1:5">
      <c r="A49" s="645" t="s">
        <v>291</v>
      </c>
      <c r="B49" s="646">
        <v>5464990</v>
      </c>
      <c r="C49" s="646"/>
      <c r="D49" s="652">
        <v>1280</v>
      </c>
      <c r="E49" s="646">
        <f t="shared" si="0"/>
        <v>5466270</v>
      </c>
    </row>
    <row r="50" spans="1:5">
      <c r="A50" s="645" t="s">
        <v>292</v>
      </c>
      <c r="B50" s="646">
        <f>10659010+616000+1682445</f>
        <v>12957455</v>
      </c>
      <c r="C50" s="646">
        <v>-42040</v>
      </c>
      <c r="D50" s="652">
        <v>-60130</v>
      </c>
      <c r="E50" s="646">
        <f t="shared" si="0"/>
        <v>12855285</v>
      </c>
    </row>
    <row r="51" spans="1:5">
      <c r="A51" s="653" t="s">
        <v>504</v>
      </c>
      <c r="B51" s="650">
        <v>34880</v>
      </c>
      <c r="C51" s="650">
        <v>4210</v>
      </c>
      <c r="D51" s="654">
        <v>2200</v>
      </c>
      <c r="E51" s="650">
        <f t="shared" si="0"/>
        <v>41290</v>
      </c>
    </row>
    <row r="52" spans="1:5">
      <c r="A52" s="655" t="s">
        <v>559</v>
      </c>
      <c r="B52" s="650">
        <v>14810</v>
      </c>
      <c r="C52" s="650">
        <v>250</v>
      </c>
      <c r="D52" s="656">
        <v>-1100</v>
      </c>
      <c r="E52" s="650">
        <f t="shared" si="0"/>
        <v>13960</v>
      </c>
    </row>
    <row r="53" spans="1:5">
      <c r="A53" s="643" t="s">
        <v>293</v>
      </c>
      <c r="B53" s="644">
        <v>155550</v>
      </c>
      <c r="C53" s="644">
        <v>11150</v>
      </c>
      <c r="D53" s="657">
        <v>15980</v>
      </c>
      <c r="E53" s="644">
        <f t="shared" si="0"/>
        <v>182680</v>
      </c>
    </row>
    <row r="54" spans="1:5">
      <c r="A54" s="643" t="s">
        <v>280</v>
      </c>
      <c r="B54" s="644">
        <v>240370</v>
      </c>
      <c r="C54" s="644">
        <f>12600-28850</f>
        <v>-16250</v>
      </c>
      <c r="D54" s="657">
        <f>-14193-90</f>
        <v>-14283</v>
      </c>
      <c r="E54" s="644">
        <f t="shared" si="0"/>
        <v>209837</v>
      </c>
    </row>
    <row r="55" spans="1:5">
      <c r="A55" s="641" t="s">
        <v>271</v>
      </c>
      <c r="B55" s="642">
        <f>B56+B57+B58</f>
        <v>150410</v>
      </c>
      <c r="C55" s="642">
        <f t="shared" ref="C55:D55" si="7">C56+C57+C58</f>
        <v>22790</v>
      </c>
      <c r="D55" s="642">
        <f t="shared" si="7"/>
        <v>9224</v>
      </c>
      <c r="E55" s="642">
        <f t="shared" si="0"/>
        <v>182424</v>
      </c>
    </row>
    <row r="56" spans="1:5">
      <c r="A56" s="643" t="s">
        <v>272</v>
      </c>
      <c r="B56" s="644">
        <v>14220</v>
      </c>
      <c r="C56" s="644">
        <v>2980</v>
      </c>
      <c r="D56" s="657">
        <v>1480</v>
      </c>
      <c r="E56" s="642">
        <f t="shared" si="0"/>
        <v>18680</v>
      </c>
    </row>
    <row r="57" spans="1:5">
      <c r="A57" s="643" t="s">
        <v>273</v>
      </c>
      <c r="B57" s="644">
        <f>126190+10000</f>
        <v>136190</v>
      </c>
      <c r="C57" s="644">
        <v>19410</v>
      </c>
      <c r="D57" s="657">
        <f>5390+704+930+720</f>
        <v>7744</v>
      </c>
      <c r="E57" s="642">
        <f t="shared" si="0"/>
        <v>163344</v>
      </c>
    </row>
    <row r="58" spans="1:5">
      <c r="A58" s="643" t="s">
        <v>288</v>
      </c>
      <c r="B58" s="644"/>
      <c r="C58" s="644">
        <v>400</v>
      </c>
      <c r="D58" s="644"/>
      <c r="E58" s="642">
        <f t="shared" si="0"/>
        <v>400</v>
      </c>
    </row>
    <row r="59" spans="1:5">
      <c r="A59" s="641" t="s">
        <v>275</v>
      </c>
      <c r="B59" s="644"/>
      <c r="C59" s="644">
        <f>C60</f>
        <v>70</v>
      </c>
      <c r="D59" s="644"/>
      <c r="E59" s="642">
        <f t="shared" si="0"/>
        <v>70</v>
      </c>
    </row>
    <row r="60" spans="1:5">
      <c r="A60" s="643" t="s">
        <v>277</v>
      </c>
      <c r="B60" s="644"/>
      <c r="C60" s="644">
        <v>70</v>
      </c>
      <c r="D60" s="644"/>
      <c r="E60" s="642">
        <f t="shared" si="0"/>
        <v>70</v>
      </c>
    </row>
    <row r="61" spans="1:5">
      <c r="A61" s="643"/>
      <c r="B61" s="644"/>
      <c r="C61" s="644"/>
      <c r="D61" s="644"/>
      <c r="E61" s="644">
        <f t="shared" si="0"/>
        <v>0</v>
      </c>
    </row>
    <row r="62" spans="1:5">
      <c r="A62" s="658" t="s">
        <v>294</v>
      </c>
      <c r="B62" s="659">
        <f>B63+B74+B79</f>
        <v>3707465</v>
      </c>
      <c r="C62" s="659">
        <f>C63+C74+C79</f>
        <v>215531</v>
      </c>
      <c r="D62" s="659">
        <f>D63+D74+D79</f>
        <v>284488</v>
      </c>
      <c r="E62" s="659">
        <f t="shared" si="0"/>
        <v>4207484</v>
      </c>
    </row>
    <row r="63" spans="1:5">
      <c r="A63" s="641" t="s">
        <v>284</v>
      </c>
      <c r="B63" s="642">
        <f>B64+B65+B66+B67+B68+B69+B70+B71+B72+B73</f>
        <v>3181835</v>
      </c>
      <c r="C63" s="642">
        <f>C64+C65+C66+C67+C68+C69+C70+C71+C72+C73</f>
        <v>212640</v>
      </c>
      <c r="D63" s="642">
        <f>D64+D65+D66+D67+D68+D69+D70+D71+D72+D73</f>
        <v>280678</v>
      </c>
      <c r="E63" s="642">
        <f t="shared" si="0"/>
        <v>3675153</v>
      </c>
    </row>
    <row r="64" spans="1:5">
      <c r="A64" s="645" t="s">
        <v>291</v>
      </c>
      <c r="B64" s="646">
        <f>23470+14220</f>
        <v>37690</v>
      </c>
      <c r="C64" s="646">
        <v>5310</v>
      </c>
      <c r="D64" s="652">
        <v>1540</v>
      </c>
      <c r="E64" s="646">
        <f t="shared" si="0"/>
        <v>44540</v>
      </c>
    </row>
    <row r="65" spans="1:5">
      <c r="A65" s="645" t="s">
        <v>292</v>
      </c>
      <c r="B65" s="646">
        <f>52210+33830+5000+13555</f>
        <v>104595</v>
      </c>
      <c r="C65" s="646">
        <v>430</v>
      </c>
      <c r="D65" s="652">
        <v>-1240</v>
      </c>
      <c r="E65" s="646">
        <f t="shared" si="0"/>
        <v>103785</v>
      </c>
    </row>
    <row r="66" spans="1:5">
      <c r="A66" s="645" t="s">
        <v>295</v>
      </c>
      <c r="B66" s="646">
        <v>10900</v>
      </c>
      <c r="C66" s="646"/>
      <c r="D66" s="652">
        <v>500</v>
      </c>
      <c r="E66" s="646">
        <f t="shared" si="0"/>
        <v>11400</v>
      </c>
    </row>
    <row r="67" spans="1:5">
      <c r="A67" s="643" t="s">
        <v>9</v>
      </c>
      <c r="B67" s="644">
        <f>1012000+50000</f>
        <v>1062000</v>
      </c>
      <c r="C67" s="644">
        <v>71840</v>
      </c>
      <c r="D67" s="657">
        <v>54537</v>
      </c>
      <c r="E67" s="644">
        <f t="shared" si="0"/>
        <v>1188377</v>
      </c>
    </row>
    <row r="68" spans="1:5">
      <c r="A68" s="643" t="s">
        <v>301</v>
      </c>
      <c r="B68" s="644">
        <f>237500+15000</f>
        <v>252500</v>
      </c>
      <c r="C68" s="644"/>
      <c r="D68" s="657">
        <f>34600+2500+980-6000</f>
        <v>32080</v>
      </c>
      <c r="E68" s="644">
        <f t="shared" si="0"/>
        <v>284580</v>
      </c>
    </row>
    <row r="69" spans="1:5">
      <c r="A69" s="643" t="s">
        <v>293</v>
      </c>
      <c r="B69" s="644">
        <v>1662760</v>
      </c>
      <c r="C69" s="644">
        <v>119590</v>
      </c>
      <c r="D69" s="657">
        <f>1200+180054</f>
        <v>181254</v>
      </c>
      <c r="E69" s="644">
        <f t="shared" si="0"/>
        <v>1963604</v>
      </c>
    </row>
    <row r="70" spans="1:5">
      <c r="A70" s="645" t="s">
        <v>296</v>
      </c>
      <c r="B70" s="646">
        <v>21360</v>
      </c>
      <c r="C70" s="646">
        <v>9820</v>
      </c>
      <c r="D70" s="652">
        <v>3493</v>
      </c>
      <c r="E70" s="646">
        <f t="shared" ref="E70:E133" si="8">SUM(B70:D70)</f>
        <v>34673</v>
      </c>
    </row>
    <row r="71" spans="1:5">
      <c r="A71" s="643" t="s">
        <v>302</v>
      </c>
      <c r="B71" s="644">
        <v>1800</v>
      </c>
      <c r="C71" s="644"/>
      <c r="D71" s="644"/>
      <c r="E71" s="644">
        <f t="shared" si="8"/>
        <v>1800</v>
      </c>
    </row>
    <row r="72" spans="1:5">
      <c r="A72" s="643" t="s">
        <v>303</v>
      </c>
      <c r="B72" s="644">
        <v>2500</v>
      </c>
      <c r="C72" s="644"/>
      <c r="D72" s="644"/>
      <c r="E72" s="644">
        <f t="shared" si="8"/>
        <v>2500</v>
      </c>
    </row>
    <row r="73" spans="1:5">
      <c r="A73" s="643" t="s">
        <v>280</v>
      </c>
      <c r="B73" s="644">
        <v>25730</v>
      </c>
      <c r="C73" s="644">
        <v>5650</v>
      </c>
      <c r="D73" s="657">
        <f>6855+1659</f>
        <v>8514</v>
      </c>
      <c r="E73" s="644">
        <f t="shared" si="8"/>
        <v>39894</v>
      </c>
    </row>
    <row r="74" spans="1:5">
      <c r="A74" s="641" t="s">
        <v>271</v>
      </c>
      <c r="B74" s="642">
        <f>B75+B76</f>
        <v>525390</v>
      </c>
      <c r="C74" s="642">
        <f>C75+C76</f>
        <v>2891</v>
      </c>
      <c r="D74" s="642">
        <f>D75+D76+D77</f>
        <v>3810</v>
      </c>
      <c r="E74" s="642">
        <f t="shared" si="8"/>
        <v>532091</v>
      </c>
    </row>
    <row r="75" spans="1:5">
      <c r="A75" s="643" t="s">
        <v>272</v>
      </c>
      <c r="B75" s="644">
        <v>61910</v>
      </c>
      <c r="C75" s="644">
        <v>2891</v>
      </c>
      <c r="D75" s="657">
        <v>1370</v>
      </c>
      <c r="E75" s="644">
        <f t="shared" si="8"/>
        <v>66171</v>
      </c>
    </row>
    <row r="76" spans="1:5">
      <c r="A76" s="643" t="s">
        <v>273</v>
      </c>
      <c r="B76" s="644">
        <v>463480</v>
      </c>
      <c r="C76" s="644"/>
      <c r="D76" s="652"/>
      <c r="E76" s="644">
        <f t="shared" si="8"/>
        <v>463480</v>
      </c>
    </row>
    <row r="77" spans="1:5">
      <c r="A77" s="197" t="s">
        <v>288</v>
      </c>
      <c r="B77" s="644"/>
      <c r="C77" s="644"/>
      <c r="D77" s="652">
        <v>2440</v>
      </c>
      <c r="E77" s="644">
        <f t="shared" si="8"/>
        <v>2440</v>
      </c>
    </row>
    <row r="78" spans="1:5">
      <c r="A78" s="641" t="s">
        <v>275</v>
      </c>
      <c r="B78" s="642">
        <f>B79</f>
        <v>240</v>
      </c>
      <c r="C78" s="642"/>
      <c r="D78" s="642"/>
      <c r="E78" s="642">
        <f t="shared" si="8"/>
        <v>240</v>
      </c>
    </row>
    <row r="79" spans="1:5">
      <c r="A79" s="643" t="s">
        <v>277</v>
      </c>
      <c r="B79" s="644">
        <v>240</v>
      </c>
      <c r="C79" s="644"/>
      <c r="D79" s="644"/>
      <c r="E79" s="644">
        <f t="shared" si="8"/>
        <v>240</v>
      </c>
    </row>
    <row r="80" spans="1:5">
      <c r="A80" s="643"/>
      <c r="B80" s="644"/>
      <c r="C80" s="644"/>
      <c r="D80" s="644"/>
      <c r="E80" s="644">
        <f t="shared" si="8"/>
        <v>0</v>
      </c>
    </row>
    <row r="81" spans="1:5">
      <c r="A81" s="658" t="s">
        <v>452</v>
      </c>
      <c r="B81" s="659">
        <f>B82+B86</f>
        <v>61000</v>
      </c>
      <c r="C81" s="659">
        <f>C82+C86</f>
        <v>0</v>
      </c>
      <c r="D81" s="660">
        <f>D82</f>
        <v>72660</v>
      </c>
      <c r="E81" s="659">
        <f t="shared" si="8"/>
        <v>133660</v>
      </c>
    </row>
    <row r="82" spans="1:5">
      <c r="A82" s="641" t="s">
        <v>284</v>
      </c>
      <c r="B82" s="642">
        <f>B84+B83</f>
        <v>36000</v>
      </c>
      <c r="C82" s="642">
        <f>C84+C83</f>
        <v>0</v>
      </c>
      <c r="D82" s="651">
        <f>D84+D83+D85</f>
        <v>72660</v>
      </c>
      <c r="E82" s="642">
        <f t="shared" si="8"/>
        <v>108660</v>
      </c>
    </row>
    <row r="83" spans="1:5">
      <c r="A83" s="645" t="s">
        <v>357</v>
      </c>
      <c r="B83" s="646">
        <v>19000</v>
      </c>
      <c r="C83" s="646">
        <v>10000</v>
      </c>
      <c r="D83" s="652">
        <v>74000</v>
      </c>
      <c r="E83" s="646">
        <f t="shared" si="8"/>
        <v>103000</v>
      </c>
    </row>
    <row r="84" spans="1:5">
      <c r="A84" s="645" t="s">
        <v>293</v>
      </c>
      <c r="B84" s="646">
        <v>17000</v>
      </c>
      <c r="C84" s="646">
        <v>-10000</v>
      </c>
      <c r="D84" s="652">
        <v>-6000</v>
      </c>
      <c r="E84" s="646">
        <f t="shared" si="8"/>
        <v>1000</v>
      </c>
    </row>
    <row r="85" spans="1:5">
      <c r="A85" s="197" t="s">
        <v>297</v>
      </c>
      <c r="B85" s="646"/>
      <c r="C85" s="646"/>
      <c r="D85" s="652">
        <v>4660</v>
      </c>
      <c r="E85" s="646">
        <f t="shared" si="8"/>
        <v>4660</v>
      </c>
    </row>
    <row r="86" spans="1:5">
      <c r="A86" s="641" t="s">
        <v>271</v>
      </c>
      <c r="B86" s="642">
        <f>B87</f>
        <v>25000</v>
      </c>
      <c r="C86" s="642">
        <f>C87</f>
        <v>0</v>
      </c>
      <c r="D86" s="642"/>
      <c r="E86" s="642">
        <f t="shared" si="8"/>
        <v>25000</v>
      </c>
    </row>
    <row r="87" spans="1:5">
      <c r="A87" s="643" t="s">
        <v>273</v>
      </c>
      <c r="B87" s="644">
        <v>25000</v>
      </c>
      <c r="C87" s="644"/>
      <c r="D87" s="644"/>
      <c r="E87" s="644">
        <f t="shared" si="8"/>
        <v>25000</v>
      </c>
    </row>
    <row r="88" spans="1:5">
      <c r="A88" s="643"/>
      <c r="B88" s="644"/>
      <c r="C88" s="644"/>
      <c r="D88" s="644"/>
      <c r="E88" s="644">
        <f t="shared" si="8"/>
        <v>0</v>
      </c>
    </row>
    <row r="89" spans="1:5">
      <c r="A89" s="641" t="s">
        <v>453</v>
      </c>
      <c r="B89" s="642">
        <f>B90+B92</f>
        <v>2450</v>
      </c>
      <c r="C89" s="642">
        <f>C90+C92</f>
        <v>-2375</v>
      </c>
      <c r="D89" s="642"/>
      <c r="E89" s="642">
        <f t="shared" si="8"/>
        <v>75</v>
      </c>
    </row>
    <row r="90" spans="1:5">
      <c r="A90" s="641" t="s">
        <v>284</v>
      </c>
      <c r="B90" s="642">
        <f>B91</f>
        <v>1800</v>
      </c>
      <c r="C90" s="642">
        <f>C91</f>
        <v>-1744</v>
      </c>
      <c r="D90" s="642"/>
      <c r="E90" s="642">
        <f t="shared" si="8"/>
        <v>56</v>
      </c>
    </row>
    <row r="91" spans="1:5">
      <c r="A91" s="643" t="s">
        <v>293</v>
      </c>
      <c r="B91" s="644">
        <v>1800</v>
      </c>
      <c r="C91" s="644">
        <v>-1744</v>
      </c>
      <c r="D91" s="644"/>
      <c r="E91" s="644">
        <f t="shared" si="8"/>
        <v>56</v>
      </c>
    </row>
    <row r="92" spans="1:5">
      <c r="A92" s="641" t="s">
        <v>275</v>
      </c>
      <c r="B92" s="642">
        <f>B93</f>
        <v>650</v>
      </c>
      <c r="C92" s="642">
        <f>C93</f>
        <v>-631</v>
      </c>
      <c r="D92" s="642"/>
      <c r="E92" s="642">
        <f t="shared" si="8"/>
        <v>19</v>
      </c>
    </row>
    <row r="93" spans="1:5">
      <c r="A93" s="649" t="s">
        <v>277</v>
      </c>
      <c r="B93" s="650">
        <v>650</v>
      </c>
      <c r="C93" s="650">
        <v>-631</v>
      </c>
      <c r="D93" s="650"/>
      <c r="E93" s="650">
        <f t="shared" si="8"/>
        <v>19</v>
      </c>
    </row>
    <row r="94" spans="1:5">
      <c r="A94" s="643"/>
      <c r="B94" s="644"/>
      <c r="C94" s="644"/>
      <c r="D94" s="644"/>
      <c r="E94" s="644">
        <f t="shared" si="8"/>
        <v>0</v>
      </c>
    </row>
    <row r="95" spans="1:5">
      <c r="A95" s="641" t="s">
        <v>456</v>
      </c>
      <c r="B95" s="642">
        <f>B99+B109+B96+B102</f>
        <v>2068740</v>
      </c>
      <c r="C95" s="642">
        <f>C99+C109+C96+C102</f>
        <v>26802</v>
      </c>
      <c r="D95" s="642">
        <f>D99+D109+D96+D102</f>
        <v>55816</v>
      </c>
      <c r="E95" s="642">
        <f t="shared" si="8"/>
        <v>2151358</v>
      </c>
    </row>
    <row r="96" spans="1:5">
      <c r="A96" s="641" t="s">
        <v>284</v>
      </c>
      <c r="B96" s="642">
        <f>B97+B98</f>
        <v>580</v>
      </c>
      <c r="C96" s="642">
        <f>C97+C98</f>
        <v>520</v>
      </c>
      <c r="D96" s="642">
        <f>D97+D98</f>
        <v>1800</v>
      </c>
      <c r="E96" s="642">
        <f t="shared" si="8"/>
        <v>2900</v>
      </c>
    </row>
    <row r="97" spans="1:5">
      <c r="A97" s="645" t="s">
        <v>293</v>
      </c>
      <c r="B97" s="646">
        <v>500</v>
      </c>
      <c r="C97" s="646">
        <v>520</v>
      </c>
      <c r="D97" s="646"/>
      <c r="E97" s="646">
        <f t="shared" si="8"/>
        <v>1020</v>
      </c>
    </row>
    <row r="98" spans="1:5">
      <c r="A98" s="645" t="s">
        <v>297</v>
      </c>
      <c r="B98" s="646">
        <v>80</v>
      </c>
      <c r="C98" s="646"/>
      <c r="D98" s="646">
        <v>1800</v>
      </c>
      <c r="E98" s="646">
        <f t="shared" si="8"/>
        <v>1880</v>
      </c>
    </row>
    <row r="99" spans="1:5">
      <c r="A99" s="641" t="s">
        <v>286</v>
      </c>
      <c r="B99" s="642">
        <f>B100+B101</f>
        <v>632400</v>
      </c>
      <c r="C99" s="642">
        <f>C100+C101</f>
        <v>7295</v>
      </c>
      <c r="D99" s="651">
        <f>D100+D101</f>
        <v>46145</v>
      </c>
      <c r="E99" s="642">
        <f t="shared" si="8"/>
        <v>685840</v>
      </c>
    </row>
    <row r="100" spans="1:5">
      <c r="A100" s="645" t="s">
        <v>388</v>
      </c>
      <c r="B100" s="646">
        <v>622430</v>
      </c>
      <c r="C100" s="646">
        <v>7295</v>
      </c>
      <c r="D100" s="652">
        <f>33073+12618</f>
        <v>45691</v>
      </c>
      <c r="E100" s="646">
        <f t="shared" si="8"/>
        <v>675416</v>
      </c>
    </row>
    <row r="101" spans="1:5">
      <c r="A101" s="643" t="s">
        <v>280</v>
      </c>
      <c r="B101" s="644">
        <v>9970</v>
      </c>
      <c r="C101" s="644"/>
      <c r="D101" s="657">
        <v>454</v>
      </c>
      <c r="E101" s="644">
        <f t="shared" si="8"/>
        <v>10424</v>
      </c>
    </row>
    <row r="102" spans="1:5">
      <c r="A102" s="641" t="s">
        <v>287</v>
      </c>
      <c r="B102" s="642">
        <f>SUM(B103:B108)</f>
        <v>1305660</v>
      </c>
      <c r="C102" s="642">
        <f>SUM(C103:C108)</f>
        <v>18820</v>
      </c>
      <c r="D102" s="642">
        <f>SUM(D103:D108)</f>
        <v>17628</v>
      </c>
      <c r="E102" s="642">
        <f t="shared" si="8"/>
        <v>1342108</v>
      </c>
    </row>
    <row r="103" spans="1:5">
      <c r="A103" s="645" t="s">
        <v>9</v>
      </c>
      <c r="B103" s="646">
        <v>1132050</v>
      </c>
      <c r="C103" s="646"/>
      <c r="D103" s="652">
        <v>14690</v>
      </c>
      <c r="E103" s="646">
        <f t="shared" si="8"/>
        <v>1146740</v>
      </c>
    </row>
    <row r="104" spans="1:5">
      <c r="A104" s="643" t="s">
        <v>299</v>
      </c>
      <c r="B104" s="644">
        <v>15100</v>
      </c>
      <c r="C104" s="644">
        <v>17000</v>
      </c>
      <c r="D104" s="657">
        <v>-2394</v>
      </c>
      <c r="E104" s="644">
        <f t="shared" si="8"/>
        <v>29706</v>
      </c>
    </row>
    <row r="105" spans="1:5">
      <c r="A105" s="643" t="s">
        <v>505</v>
      </c>
      <c r="B105" s="644">
        <v>200</v>
      </c>
      <c r="C105" s="644"/>
      <c r="D105" s="644"/>
      <c r="E105" s="644">
        <f t="shared" si="8"/>
        <v>200</v>
      </c>
    </row>
    <row r="106" spans="1:5">
      <c r="A106" s="643" t="s">
        <v>300</v>
      </c>
      <c r="B106" s="644">
        <v>13970</v>
      </c>
      <c r="C106" s="644">
        <v>120</v>
      </c>
      <c r="D106" s="657">
        <v>1830</v>
      </c>
      <c r="E106" s="644">
        <f t="shared" si="8"/>
        <v>15920</v>
      </c>
    </row>
    <row r="107" spans="1:5">
      <c r="A107" s="643" t="s">
        <v>34</v>
      </c>
      <c r="B107" s="644">
        <v>360</v>
      </c>
      <c r="C107" s="644"/>
      <c r="D107" s="644"/>
      <c r="E107" s="644">
        <f t="shared" si="8"/>
        <v>360</v>
      </c>
    </row>
    <row r="108" spans="1:5">
      <c r="A108" s="643" t="s">
        <v>298</v>
      </c>
      <c r="B108" s="644">
        <v>143980</v>
      </c>
      <c r="C108" s="644">
        <v>1700</v>
      </c>
      <c r="D108" s="657">
        <v>3502</v>
      </c>
      <c r="E108" s="644">
        <f t="shared" si="8"/>
        <v>149182</v>
      </c>
    </row>
    <row r="109" spans="1:5">
      <c r="A109" s="661" t="s">
        <v>271</v>
      </c>
      <c r="B109" s="662">
        <f>B110+B111</f>
        <v>130100</v>
      </c>
      <c r="C109" s="662">
        <f>C110+C111</f>
        <v>167</v>
      </c>
      <c r="D109" s="663">
        <f>D110+D111</f>
        <v>-9757</v>
      </c>
      <c r="E109" s="662">
        <f t="shared" si="8"/>
        <v>120510</v>
      </c>
    </row>
    <row r="110" spans="1:5">
      <c r="A110" s="643" t="s">
        <v>272</v>
      </c>
      <c r="B110" s="644">
        <v>90590</v>
      </c>
      <c r="C110" s="644"/>
      <c r="D110" s="657">
        <v>-9607</v>
      </c>
      <c r="E110" s="644">
        <f t="shared" si="8"/>
        <v>80983</v>
      </c>
    </row>
    <row r="111" spans="1:5">
      <c r="A111" s="643" t="s">
        <v>273</v>
      </c>
      <c r="B111" s="644">
        <v>39510</v>
      </c>
      <c r="C111" s="644">
        <v>167</v>
      </c>
      <c r="D111" s="657">
        <v>-150</v>
      </c>
      <c r="E111" s="644">
        <f t="shared" si="8"/>
        <v>39527</v>
      </c>
    </row>
    <row r="112" spans="1:5">
      <c r="A112" s="645"/>
      <c r="B112" s="646"/>
      <c r="C112" s="646"/>
      <c r="D112" s="646"/>
      <c r="E112" s="646">
        <f t="shared" si="8"/>
        <v>0</v>
      </c>
    </row>
    <row r="113" spans="1:5">
      <c r="A113" s="641" t="s">
        <v>454</v>
      </c>
      <c r="B113" s="642">
        <f>B114+B118</f>
        <v>259540</v>
      </c>
      <c r="C113" s="642">
        <f>C114+C118</f>
        <v>0</v>
      </c>
      <c r="D113" s="642">
        <f>D114+D118</f>
        <v>0</v>
      </c>
      <c r="E113" s="642">
        <f t="shared" si="8"/>
        <v>259540</v>
      </c>
    </row>
    <row r="114" spans="1:5">
      <c r="A114" s="664" t="s">
        <v>284</v>
      </c>
      <c r="B114" s="662">
        <f>B115+B116+B117</f>
        <v>178790</v>
      </c>
      <c r="C114" s="662">
        <f>C115+C116+C117</f>
        <v>0</v>
      </c>
      <c r="D114" s="662">
        <f>D115+D116+D117</f>
        <v>615</v>
      </c>
      <c r="E114" s="662">
        <f t="shared" si="8"/>
        <v>179405</v>
      </c>
    </row>
    <row r="115" spans="1:5">
      <c r="A115" s="643" t="s">
        <v>293</v>
      </c>
      <c r="B115" s="644">
        <f>80000+1500</f>
        <v>81500</v>
      </c>
      <c r="C115" s="644"/>
      <c r="D115" s="644"/>
      <c r="E115" s="644">
        <f t="shared" si="8"/>
        <v>81500</v>
      </c>
    </row>
    <row r="116" spans="1:5">
      <c r="A116" s="643" t="s">
        <v>296</v>
      </c>
      <c r="B116" s="644">
        <v>3100</v>
      </c>
      <c r="C116" s="644"/>
      <c r="D116" s="657">
        <v>-460</v>
      </c>
      <c r="E116" s="644">
        <f t="shared" si="8"/>
        <v>2640</v>
      </c>
    </row>
    <row r="117" spans="1:5">
      <c r="A117" s="643" t="s">
        <v>297</v>
      </c>
      <c r="B117" s="644">
        <f>81850+10000+2340</f>
        <v>94190</v>
      </c>
      <c r="C117" s="644"/>
      <c r="D117" s="657">
        <v>1075</v>
      </c>
      <c r="E117" s="644">
        <f t="shared" si="8"/>
        <v>95265</v>
      </c>
    </row>
    <row r="118" spans="1:5">
      <c r="A118" s="641" t="s">
        <v>271</v>
      </c>
      <c r="B118" s="642">
        <f>B119+B120</f>
        <v>80750</v>
      </c>
      <c r="C118" s="642">
        <f>C119+C120</f>
        <v>0</v>
      </c>
      <c r="D118" s="642">
        <f>D119+D120</f>
        <v>-615</v>
      </c>
      <c r="E118" s="642">
        <f t="shared" si="8"/>
        <v>80135</v>
      </c>
    </row>
    <row r="119" spans="1:5">
      <c r="A119" s="643" t="s">
        <v>272</v>
      </c>
      <c r="B119" s="644">
        <v>54645</v>
      </c>
      <c r="C119" s="644">
        <v>200</v>
      </c>
      <c r="D119" s="644"/>
      <c r="E119" s="644">
        <f t="shared" si="8"/>
        <v>54845</v>
      </c>
    </row>
    <row r="120" spans="1:5">
      <c r="A120" s="643" t="s">
        <v>273</v>
      </c>
      <c r="B120" s="644">
        <v>26105</v>
      </c>
      <c r="C120" s="644">
        <v>-200</v>
      </c>
      <c r="D120" s="657">
        <v>-615</v>
      </c>
      <c r="E120" s="644">
        <f t="shared" si="8"/>
        <v>25290</v>
      </c>
    </row>
    <row r="121" spans="1:5">
      <c r="A121" s="645"/>
      <c r="B121" s="646"/>
      <c r="C121" s="646"/>
      <c r="D121" s="646"/>
      <c r="E121" s="646">
        <f t="shared" si="8"/>
        <v>0</v>
      </c>
    </row>
    <row r="122" spans="1:5">
      <c r="A122" s="639" t="s">
        <v>739</v>
      </c>
      <c r="B122" s="640">
        <f>B124+B134+B143+B149+B162+B178+B191+B202+B211</f>
        <v>4963500</v>
      </c>
      <c r="C122" s="640">
        <f t="shared" ref="C122:D122" si="9">C124+C134+C143+C149+C162+C178+C191+C202+C211</f>
        <v>43000</v>
      </c>
      <c r="D122" s="640">
        <f t="shared" si="9"/>
        <v>112000</v>
      </c>
      <c r="E122" s="640">
        <f t="shared" si="8"/>
        <v>5118500</v>
      </c>
    </row>
    <row r="123" spans="1:5">
      <c r="A123" s="647"/>
      <c r="B123" s="648"/>
      <c r="C123" s="648"/>
      <c r="D123" s="648"/>
      <c r="E123" s="648">
        <f t="shared" si="8"/>
        <v>0</v>
      </c>
    </row>
    <row r="124" spans="1:5">
      <c r="A124" s="641" t="s">
        <v>740</v>
      </c>
      <c r="B124" s="642">
        <f>B127+B130+B125</f>
        <v>73000</v>
      </c>
      <c r="C124" s="642">
        <f>C127+C130+C125</f>
        <v>10000</v>
      </c>
      <c r="D124" s="642">
        <f t="shared" ref="D124" si="10">D127+D130+D125</f>
        <v>18000</v>
      </c>
      <c r="E124" s="642">
        <f t="shared" si="8"/>
        <v>101000</v>
      </c>
    </row>
    <row r="125" spans="1:5">
      <c r="A125" s="641" t="s">
        <v>286</v>
      </c>
      <c r="B125" s="642">
        <f>B126</f>
        <v>800</v>
      </c>
      <c r="C125" s="642">
        <f>C126</f>
        <v>0</v>
      </c>
      <c r="D125" s="642">
        <f t="shared" ref="D125" si="11">D126</f>
        <v>0</v>
      </c>
      <c r="E125" s="642">
        <f t="shared" si="8"/>
        <v>800</v>
      </c>
    </row>
    <row r="126" spans="1:5">
      <c r="A126" s="643" t="s">
        <v>309</v>
      </c>
      <c r="B126" s="644">
        <v>800</v>
      </c>
      <c r="C126" s="644"/>
      <c r="D126" s="644"/>
      <c r="E126" s="644">
        <f t="shared" si="8"/>
        <v>800</v>
      </c>
    </row>
    <row r="127" spans="1:5">
      <c r="A127" s="641" t="s">
        <v>271</v>
      </c>
      <c r="B127" s="642">
        <f>B128+B129</f>
        <v>64200</v>
      </c>
      <c r="C127" s="642">
        <f>C128+C129</f>
        <v>0</v>
      </c>
      <c r="D127" s="642"/>
      <c r="E127" s="642">
        <f t="shared" si="8"/>
        <v>64200</v>
      </c>
    </row>
    <row r="128" spans="1:5">
      <c r="A128" s="643" t="s">
        <v>272</v>
      </c>
      <c r="B128" s="644">
        <v>62200</v>
      </c>
      <c r="C128" s="644"/>
      <c r="D128" s="644"/>
      <c r="E128" s="644">
        <f t="shared" si="8"/>
        <v>62200</v>
      </c>
    </row>
    <row r="129" spans="1:5">
      <c r="A129" s="643" t="s">
        <v>273</v>
      </c>
      <c r="B129" s="644">
        <v>2000</v>
      </c>
      <c r="C129" s="644"/>
      <c r="D129" s="644"/>
      <c r="E129" s="644">
        <f t="shared" si="8"/>
        <v>2000</v>
      </c>
    </row>
    <row r="130" spans="1:5">
      <c r="A130" s="641" t="s">
        <v>275</v>
      </c>
      <c r="B130" s="642">
        <f>B131+B132</f>
        <v>8000</v>
      </c>
      <c r="C130" s="642">
        <f>C131+C132</f>
        <v>10000</v>
      </c>
      <c r="D130" s="642">
        <f t="shared" ref="D130" si="12">D131+D132</f>
        <v>18000</v>
      </c>
      <c r="E130" s="642">
        <f t="shared" si="8"/>
        <v>36000</v>
      </c>
    </row>
    <row r="131" spans="1:5">
      <c r="A131" s="649" t="s">
        <v>304</v>
      </c>
      <c r="B131" s="650">
        <v>3000</v>
      </c>
      <c r="C131" s="650">
        <v>10000</v>
      </c>
      <c r="D131" s="650">
        <v>23000</v>
      </c>
      <c r="E131" s="650">
        <f t="shared" si="8"/>
        <v>36000</v>
      </c>
    </row>
    <row r="132" spans="1:5">
      <c r="A132" s="645" t="s">
        <v>313</v>
      </c>
      <c r="B132" s="646">
        <v>5000</v>
      </c>
      <c r="C132" s="646"/>
      <c r="D132" s="646">
        <v>-5000</v>
      </c>
      <c r="E132" s="646">
        <f t="shared" ref="E132:E195" si="13">SUM(B132:D132)</f>
        <v>0</v>
      </c>
    </row>
    <row r="133" spans="1:5">
      <c r="A133" s="643"/>
      <c r="B133" s="644"/>
      <c r="C133" s="644"/>
      <c r="D133" s="644"/>
      <c r="E133" s="644">
        <f t="shared" si="13"/>
        <v>0</v>
      </c>
    </row>
    <row r="134" spans="1:5">
      <c r="A134" s="641" t="s">
        <v>305</v>
      </c>
      <c r="B134" s="642">
        <f>B135+B140</f>
        <v>154700</v>
      </c>
      <c r="C134" s="642">
        <f>C135+C140</f>
        <v>0</v>
      </c>
      <c r="D134" s="642">
        <f t="shared" ref="D134" si="14">D135+D140</f>
        <v>-4000</v>
      </c>
      <c r="E134" s="642">
        <f t="shared" si="13"/>
        <v>150700</v>
      </c>
    </row>
    <row r="135" spans="1:5">
      <c r="A135" s="641" t="s">
        <v>286</v>
      </c>
      <c r="B135" s="642">
        <f>B136+B137+B138</f>
        <v>125000</v>
      </c>
      <c r="C135" s="642">
        <f>C136+C137+C138+C139</f>
        <v>0</v>
      </c>
      <c r="D135" s="642">
        <f>D136+D137+D138+D139</f>
        <v>-4000</v>
      </c>
      <c r="E135" s="642">
        <f t="shared" si="13"/>
        <v>121000</v>
      </c>
    </row>
    <row r="136" spans="1:5">
      <c r="A136" s="645" t="s">
        <v>280</v>
      </c>
      <c r="B136" s="646">
        <f>99000+21000</f>
        <v>120000</v>
      </c>
      <c r="C136" s="646">
        <v>-4000</v>
      </c>
      <c r="D136" s="646">
        <v>-5000</v>
      </c>
      <c r="E136" s="646">
        <f t="shared" si="13"/>
        <v>111000</v>
      </c>
    </row>
    <row r="137" spans="1:5">
      <c r="A137" s="645" t="s">
        <v>306</v>
      </c>
      <c r="B137" s="646">
        <v>4500</v>
      </c>
      <c r="C137" s="646">
        <v>3900</v>
      </c>
      <c r="D137" s="646">
        <v>700</v>
      </c>
      <c r="E137" s="646">
        <f t="shared" si="13"/>
        <v>9100</v>
      </c>
    </row>
    <row r="138" spans="1:5">
      <c r="A138" s="645" t="s">
        <v>296</v>
      </c>
      <c r="B138" s="646">
        <v>500</v>
      </c>
      <c r="C138" s="646"/>
      <c r="D138" s="646"/>
      <c r="E138" s="646">
        <f t="shared" si="13"/>
        <v>500</v>
      </c>
    </row>
    <row r="139" spans="1:5">
      <c r="A139" s="643" t="s">
        <v>310</v>
      </c>
      <c r="B139" s="646"/>
      <c r="C139" s="646">
        <v>100</v>
      </c>
      <c r="D139" s="646">
        <v>300</v>
      </c>
      <c r="E139" s="646">
        <f t="shared" si="13"/>
        <v>400</v>
      </c>
    </row>
    <row r="140" spans="1:5">
      <c r="A140" s="641" t="s">
        <v>271</v>
      </c>
      <c r="B140" s="642">
        <f>SUM(B141)</f>
        <v>29700</v>
      </c>
      <c r="C140" s="642">
        <f>SUM(C141)</f>
        <v>0</v>
      </c>
      <c r="D140" s="642"/>
      <c r="E140" s="642">
        <f t="shared" si="13"/>
        <v>29700</v>
      </c>
    </row>
    <row r="141" spans="1:5">
      <c r="A141" s="643" t="s">
        <v>273</v>
      </c>
      <c r="B141" s="644">
        <v>29700</v>
      </c>
      <c r="C141" s="644"/>
      <c r="D141" s="644"/>
      <c r="E141" s="644">
        <f t="shared" si="13"/>
        <v>29700</v>
      </c>
    </row>
    <row r="142" spans="1:5">
      <c r="A142" s="645"/>
      <c r="B142" s="646"/>
      <c r="C142" s="646"/>
      <c r="D142" s="646"/>
      <c r="E142" s="646">
        <f t="shared" si="13"/>
        <v>0</v>
      </c>
    </row>
    <row r="143" spans="1:5">
      <c r="A143" s="665" t="s">
        <v>308</v>
      </c>
      <c r="B143" s="642">
        <f>B144</f>
        <v>28500</v>
      </c>
      <c r="C143" s="642"/>
      <c r="D143" s="642"/>
      <c r="E143" s="642">
        <f t="shared" si="13"/>
        <v>28500</v>
      </c>
    </row>
    <row r="144" spans="1:5">
      <c r="A144" s="641" t="s">
        <v>286</v>
      </c>
      <c r="B144" s="642">
        <f>B145+B146+B147</f>
        <v>28500</v>
      </c>
      <c r="C144" s="642"/>
      <c r="D144" s="642"/>
      <c r="E144" s="642">
        <f t="shared" si="13"/>
        <v>28500</v>
      </c>
    </row>
    <row r="145" spans="1:5">
      <c r="A145" s="643" t="s">
        <v>309</v>
      </c>
      <c r="B145" s="644">
        <v>27170</v>
      </c>
      <c r="C145" s="644"/>
      <c r="D145" s="644"/>
      <c r="E145" s="644">
        <f t="shared" si="13"/>
        <v>27170</v>
      </c>
    </row>
    <row r="146" spans="1:5">
      <c r="A146" s="645" t="s">
        <v>280</v>
      </c>
      <c r="B146" s="646">
        <v>760</v>
      </c>
      <c r="C146" s="646"/>
      <c r="D146" s="646"/>
      <c r="E146" s="646">
        <f t="shared" si="13"/>
        <v>760</v>
      </c>
    </row>
    <row r="147" spans="1:5">
      <c r="A147" s="645" t="s">
        <v>306</v>
      </c>
      <c r="B147" s="646">
        <v>570</v>
      </c>
      <c r="C147" s="646"/>
      <c r="D147" s="646"/>
      <c r="E147" s="646">
        <f t="shared" si="13"/>
        <v>570</v>
      </c>
    </row>
    <row r="148" spans="1:5">
      <c r="A148" s="645"/>
      <c r="B148" s="646"/>
      <c r="C148" s="646"/>
      <c r="D148" s="646"/>
      <c r="E148" s="646">
        <f t="shared" si="13"/>
        <v>0</v>
      </c>
    </row>
    <row r="149" spans="1:5">
      <c r="A149" s="641" t="s">
        <v>393</v>
      </c>
      <c r="B149" s="642">
        <f>B150+B156+B159</f>
        <v>798300</v>
      </c>
      <c r="C149" s="642">
        <f>C150+C156+C159</f>
        <v>8000</v>
      </c>
      <c r="D149" s="642"/>
      <c r="E149" s="642">
        <f t="shared" si="13"/>
        <v>806300</v>
      </c>
    </row>
    <row r="150" spans="1:5">
      <c r="A150" s="641" t="s">
        <v>286</v>
      </c>
      <c r="B150" s="642">
        <f>B151+B152+B153+B154+B155</f>
        <v>502200</v>
      </c>
      <c r="C150" s="642">
        <f>C151+C152+C153+C154+C155</f>
        <v>7500</v>
      </c>
      <c r="D150" s="642"/>
      <c r="E150" s="642">
        <f t="shared" si="13"/>
        <v>509700</v>
      </c>
    </row>
    <row r="151" spans="1:5">
      <c r="A151" s="643" t="s">
        <v>299</v>
      </c>
      <c r="B151" s="644">
        <v>383000</v>
      </c>
      <c r="C151" s="644">
        <v>5000</v>
      </c>
      <c r="D151" s="644">
        <v>-64000</v>
      </c>
      <c r="E151" s="644">
        <f t="shared" si="13"/>
        <v>324000</v>
      </c>
    </row>
    <row r="152" spans="1:5">
      <c r="A152" s="645" t="s">
        <v>280</v>
      </c>
      <c r="B152" s="646">
        <v>34000</v>
      </c>
      <c r="C152" s="646">
        <v>1000</v>
      </c>
      <c r="D152" s="646">
        <v>64000</v>
      </c>
      <c r="E152" s="646">
        <f t="shared" si="13"/>
        <v>99000</v>
      </c>
    </row>
    <row r="153" spans="1:5">
      <c r="A153" s="645" t="s">
        <v>306</v>
      </c>
      <c r="B153" s="646">
        <v>66000</v>
      </c>
      <c r="C153" s="646">
        <v>1000</v>
      </c>
      <c r="D153" s="646"/>
      <c r="E153" s="646">
        <f t="shared" si="13"/>
        <v>67000</v>
      </c>
    </row>
    <row r="154" spans="1:5">
      <c r="A154" s="645" t="s">
        <v>296</v>
      </c>
      <c r="B154" s="646">
        <v>500</v>
      </c>
      <c r="C154" s="646"/>
      <c r="D154" s="646"/>
      <c r="E154" s="646">
        <f t="shared" si="13"/>
        <v>500</v>
      </c>
    </row>
    <row r="155" spans="1:5">
      <c r="A155" s="645" t="s">
        <v>310</v>
      </c>
      <c r="B155" s="646">
        <v>18700</v>
      </c>
      <c r="C155" s="646">
        <v>500</v>
      </c>
      <c r="D155" s="646"/>
      <c r="E155" s="646">
        <f t="shared" si="13"/>
        <v>19200</v>
      </c>
    </row>
    <row r="156" spans="1:5">
      <c r="A156" s="641" t="s">
        <v>271</v>
      </c>
      <c r="B156" s="642">
        <f>B157+B158</f>
        <v>11100</v>
      </c>
      <c r="C156" s="642"/>
      <c r="D156" s="642"/>
      <c r="E156" s="642">
        <f t="shared" si="13"/>
        <v>11100</v>
      </c>
    </row>
    <row r="157" spans="1:5">
      <c r="A157" s="643" t="s">
        <v>272</v>
      </c>
      <c r="B157" s="644">
        <v>10400</v>
      </c>
      <c r="C157" s="644"/>
      <c r="D157" s="644"/>
      <c r="E157" s="644">
        <f t="shared" si="13"/>
        <v>10400</v>
      </c>
    </row>
    <row r="158" spans="1:5">
      <c r="A158" s="643" t="s">
        <v>273</v>
      </c>
      <c r="B158" s="644">
        <v>700</v>
      </c>
      <c r="C158" s="644"/>
      <c r="D158" s="644"/>
      <c r="E158" s="644">
        <f t="shared" si="13"/>
        <v>700</v>
      </c>
    </row>
    <row r="159" spans="1:5">
      <c r="A159" s="661" t="s">
        <v>275</v>
      </c>
      <c r="B159" s="662">
        <f>B160+B161</f>
        <v>285000</v>
      </c>
      <c r="C159" s="662">
        <f>C160+C161</f>
        <v>500</v>
      </c>
      <c r="D159" s="662"/>
      <c r="E159" s="662">
        <f t="shared" si="13"/>
        <v>285500</v>
      </c>
    </row>
    <row r="160" spans="1:5">
      <c r="A160" s="643" t="s">
        <v>304</v>
      </c>
      <c r="B160" s="644">
        <f>274000+11000</f>
        <v>285000</v>
      </c>
      <c r="C160" s="644">
        <v>500</v>
      </c>
      <c r="D160" s="644"/>
      <c r="E160" s="644">
        <f t="shared" si="13"/>
        <v>285500</v>
      </c>
    </row>
    <row r="161" spans="1:5">
      <c r="A161" s="645"/>
      <c r="B161" s="646"/>
      <c r="C161" s="646"/>
      <c r="D161" s="646"/>
      <c r="E161" s="646">
        <f t="shared" si="13"/>
        <v>0</v>
      </c>
    </row>
    <row r="162" spans="1:5">
      <c r="A162" s="641" t="s">
        <v>394</v>
      </c>
      <c r="B162" s="642">
        <f>B163+B168+B170+B173</f>
        <v>1791100</v>
      </c>
      <c r="C162" s="642">
        <f>C163+C168+C170+C173</f>
        <v>0</v>
      </c>
      <c r="D162" s="642">
        <f>D163+D168+D170+D173</f>
        <v>48000</v>
      </c>
      <c r="E162" s="642">
        <f t="shared" si="13"/>
        <v>1839100</v>
      </c>
    </row>
    <row r="163" spans="1:5">
      <c r="A163" s="641" t="s">
        <v>286</v>
      </c>
      <c r="B163" s="642">
        <f>SUM(B164:B167)</f>
        <v>1232500</v>
      </c>
      <c r="C163" s="642">
        <f>SUM(C164:C167)</f>
        <v>0</v>
      </c>
      <c r="D163" s="642">
        <f>SUM(D164:D167)</f>
        <v>-7000</v>
      </c>
      <c r="E163" s="642">
        <f t="shared" si="13"/>
        <v>1225500</v>
      </c>
    </row>
    <row r="164" spans="1:5">
      <c r="A164" s="643" t="s">
        <v>299</v>
      </c>
      <c r="B164" s="644">
        <f>945500+94500+35000</f>
        <v>1075000</v>
      </c>
      <c r="C164" s="644"/>
      <c r="D164" s="644">
        <v>5000</v>
      </c>
      <c r="E164" s="644">
        <f t="shared" si="13"/>
        <v>1080000</v>
      </c>
    </row>
    <row r="165" spans="1:5">
      <c r="A165" s="645" t="s">
        <v>280</v>
      </c>
      <c r="B165" s="646">
        <v>97500</v>
      </c>
      <c r="C165" s="646">
        <v>-6000</v>
      </c>
      <c r="D165" s="646"/>
      <c r="E165" s="646">
        <f t="shared" si="13"/>
        <v>91500</v>
      </c>
    </row>
    <row r="166" spans="1:5">
      <c r="A166" s="645" t="s">
        <v>310</v>
      </c>
      <c r="B166" s="646">
        <f>5000+5000</f>
        <v>10000</v>
      </c>
      <c r="C166" s="646">
        <v>10000</v>
      </c>
      <c r="D166" s="646">
        <v>8000</v>
      </c>
      <c r="E166" s="646">
        <f t="shared" si="13"/>
        <v>28000</v>
      </c>
    </row>
    <row r="167" spans="1:5">
      <c r="A167" s="645" t="s">
        <v>306</v>
      </c>
      <c r="B167" s="646">
        <v>50000</v>
      </c>
      <c r="C167" s="646">
        <v>-4000</v>
      </c>
      <c r="D167" s="646">
        <v>-20000</v>
      </c>
      <c r="E167" s="646">
        <f t="shared" si="13"/>
        <v>26000</v>
      </c>
    </row>
    <row r="168" spans="1:5">
      <c r="A168" s="658" t="s">
        <v>311</v>
      </c>
      <c r="B168" s="659">
        <f>SUM(B169)</f>
        <v>45000</v>
      </c>
      <c r="C168" s="659"/>
      <c r="D168" s="659">
        <f>SUM(D169)</f>
        <v>2000</v>
      </c>
      <c r="E168" s="659">
        <f t="shared" si="13"/>
        <v>47000</v>
      </c>
    </row>
    <row r="169" spans="1:5">
      <c r="A169" s="643" t="s">
        <v>312</v>
      </c>
      <c r="B169" s="644">
        <f>35000+10000</f>
        <v>45000</v>
      </c>
      <c r="C169" s="644"/>
      <c r="D169" s="644">
        <v>2000</v>
      </c>
      <c r="E169" s="644">
        <f t="shared" si="13"/>
        <v>47000</v>
      </c>
    </row>
    <row r="170" spans="1:5">
      <c r="A170" s="641" t="s">
        <v>271</v>
      </c>
      <c r="B170" s="642">
        <f>SUM(B171:B172)</f>
        <v>24100</v>
      </c>
      <c r="C170" s="642"/>
      <c r="D170" s="642">
        <f>SUM(D171:D172)</f>
        <v>500</v>
      </c>
      <c r="E170" s="642">
        <f t="shared" si="13"/>
        <v>24600</v>
      </c>
    </row>
    <row r="171" spans="1:5">
      <c r="A171" s="643" t="s">
        <v>273</v>
      </c>
      <c r="B171" s="644">
        <v>3600</v>
      </c>
      <c r="C171" s="644"/>
      <c r="D171" s="644">
        <v>-1000</v>
      </c>
      <c r="E171" s="644">
        <f t="shared" si="13"/>
        <v>2600</v>
      </c>
    </row>
    <row r="172" spans="1:5">
      <c r="A172" s="643" t="s">
        <v>288</v>
      </c>
      <c r="B172" s="644">
        <v>20500</v>
      </c>
      <c r="C172" s="644"/>
      <c r="D172" s="644">
        <v>1500</v>
      </c>
      <c r="E172" s="644">
        <f t="shared" si="13"/>
        <v>22000</v>
      </c>
    </row>
    <row r="173" spans="1:5">
      <c r="A173" s="641" t="s">
        <v>275</v>
      </c>
      <c r="B173" s="642">
        <f>SUM(B174:B176)</f>
        <v>489500</v>
      </c>
      <c r="C173" s="642"/>
      <c r="D173" s="642">
        <f>SUM(D174:D176)</f>
        <v>52500</v>
      </c>
      <c r="E173" s="642">
        <f t="shared" si="13"/>
        <v>542000</v>
      </c>
    </row>
    <row r="174" spans="1:5">
      <c r="A174" s="645" t="s">
        <v>313</v>
      </c>
      <c r="B174" s="646">
        <v>8000</v>
      </c>
      <c r="C174" s="646"/>
      <c r="D174" s="646">
        <v>-1000</v>
      </c>
      <c r="E174" s="646">
        <f t="shared" si="13"/>
        <v>7000</v>
      </c>
    </row>
    <row r="175" spans="1:5">
      <c r="A175" s="645" t="s">
        <v>314</v>
      </c>
      <c r="B175" s="646">
        <v>402500</v>
      </c>
      <c r="C175" s="646"/>
      <c r="D175" s="646">
        <v>47500</v>
      </c>
      <c r="E175" s="646">
        <f t="shared" si="13"/>
        <v>450000</v>
      </c>
    </row>
    <row r="176" spans="1:5">
      <c r="A176" s="645" t="s">
        <v>277</v>
      </c>
      <c r="B176" s="646">
        <v>79000</v>
      </c>
      <c r="C176" s="646"/>
      <c r="D176" s="646">
        <v>6000</v>
      </c>
      <c r="E176" s="646">
        <f t="shared" si="13"/>
        <v>85000</v>
      </c>
    </row>
    <row r="177" spans="1:5">
      <c r="A177" s="645"/>
      <c r="B177" s="646"/>
      <c r="C177" s="646"/>
      <c r="D177" s="646"/>
      <c r="E177" s="646">
        <f t="shared" si="13"/>
        <v>0</v>
      </c>
    </row>
    <row r="178" spans="1:5">
      <c r="A178" s="641" t="s">
        <v>395</v>
      </c>
      <c r="B178" s="642">
        <f>B179+B184+B188</f>
        <v>1262000</v>
      </c>
      <c r="C178" s="642">
        <f>C179+C184+C188</f>
        <v>25000</v>
      </c>
      <c r="D178" s="642">
        <f>D179+D184+D188</f>
        <v>50000</v>
      </c>
      <c r="E178" s="642">
        <f t="shared" si="13"/>
        <v>1337000</v>
      </c>
    </row>
    <row r="179" spans="1:5">
      <c r="A179" s="641" t="s">
        <v>286</v>
      </c>
      <c r="B179" s="642">
        <f>SUM(B180:B183)</f>
        <v>1165010</v>
      </c>
      <c r="C179" s="642">
        <f t="shared" ref="C179:D179" si="15">SUM(C180:C183)</f>
        <v>26000</v>
      </c>
      <c r="D179" s="642">
        <f t="shared" si="15"/>
        <v>5000</v>
      </c>
      <c r="E179" s="642">
        <f t="shared" si="13"/>
        <v>1196010</v>
      </c>
    </row>
    <row r="180" spans="1:5">
      <c r="A180" s="643" t="s">
        <v>299</v>
      </c>
      <c r="B180" s="644">
        <f>1040010+62000</f>
        <v>1102010</v>
      </c>
      <c r="C180" s="644">
        <v>25000</v>
      </c>
      <c r="D180" s="644"/>
      <c r="E180" s="644">
        <f t="shared" si="13"/>
        <v>1127010</v>
      </c>
    </row>
    <row r="181" spans="1:5">
      <c r="A181" s="645" t="s">
        <v>280</v>
      </c>
      <c r="B181" s="646">
        <v>40000</v>
      </c>
      <c r="C181" s="646">
        <v>1000</v>
      </c>
      <c r="D181" s="646">
        <v>1000</v>
      </c>
      <c r="E181" s="646">
        <f t="shared" si="13"/>
        <v>42000</v>
      </c>
    </row>
    <row r="182" spans="1:5">
      <c r="A182" s="645" t="s">
        <v>306</v>
      </c>
      <c r="B182" s="646">
        <v>23000</v>
      </c>
      <c r="C182" s="646"/>
      <c r="D182" s="646">
        <v>1800</v>
      </c>
      <c r="E182" s="646">
        <f t="shared" si="13"/>
        <v>24800</v>
      </c>
    </row>
    <row r="183" spans="1:5">
      <c r="A183" s="197" t="s">
        <v>296</v>
      </c>
      <c r="B183" s="646"/>
      <c r="C183" s="646"/>
      <c r="D183" s="646">
        <v>2200</v>
      </c>
      <c r="E183" s="646">
        <f t="shared" si="13"/>
        <v>2200</v>
      </c>
    </row>
    <row r="184" spans="1:5">
      <c r="A184" s="641" t="s">
        <v>271</v>
      </c>
      <c r="B184" s="642">
        <f>SUM(B185:B187)</f>
        <v>56990</v>
      </c>
      <c r="C184" s="642">
        <f>SUM(C185:C187)</f>
        <v>-1000</v>
      </c>
      <c r="D184" s="642"/>
      <c r="E184" s="642">
        <f t="shared" si="13"/>
        <v>55990</v>
      </c>
    </row>
    <row r="185" spans="1:5">
      <c r="A185" s="643" t="s">
        <v>272</v>
      </c>
      <c r="B185" s="644">
        <v>32990</v>
      </c>
      <c r="C185" s="644"/>
      <c r="D185" s="644"/>
      <c r="E185" s="644">
        <f t="shared" si="13"/>
        <v>32990</v>
      </c>
    </row>
    <row r="186" spans="1:5">
      <c r="A186" s="643" t="s">
        <v>273</v>
      </c>
      <c r="B186" s="644">
        <v>22000</v>
      </c>
      <c r="C186" s="644"/>
      <c r="D186" s="644"/>
      <c r="E186" s="644">
        <f t="shared" si="13"/>
        <v>22000</v>
      </c>
    </row>
    <row r="187" spans="1:5">
      <c r="A187" s="643" t="s">
        <v>288</v>
      </c>
      <c r="B187" s="644">
        <v>2000</v>
      </c>
      <c r="C187" s="644">
        <v>-1000</v>
      </c>
      <c r="D187" s="644"/>
      <c r="E187" s="644">
        <f t="shared" si="13"/>
        <v>1000</v>
      </c>
    </row>
    <row r="188" spans="1:5">
      <c r="A188" s="641" t="s">
        <v>275</v>
      </c>
      <c r="B188" s="642">
        <f>SUM(B189)</f>
        <v>40000</v>
      </c>
      <c r="C188" s="642">
        <f>SUM(C189)</f>
        <v>0</v>
      </c>
      <c r="D188" s="642">
        <f>SUM(D189)</f>
        <v>45000</v>
      </c>
      <c r="E188" s="642">
        <f t="shared" si="13"/>
        <v>85000</v>
      </c>
    </row>
    <row r="189" spans="1:5">
      <c r="A189" s="645" t="s">
        <v>313</v>
      </c>
      <c r="B189" s="646">
        <v>40000</v>
      </c>
      <c r="C189" s="646"/>
      <c r="D189" s="646">
        <v>45000</v>
      </c>
      <c r="E189" s="646">
        <f t="shared" si="13"/>
        <v>85000</v>
      </c>
    </row>
    <row r="190" spans="1:5">
      <c r="A190" s="645"/>
      <c r="B190" s="646"/>
      <c r="C190" s="646"/>
      <c r="D190" s="646"/>
      <c r="E190" s="646">
        <f t="shared" si="13"/>
        <v>0</v>
      </c>
    </row>
    <row r="191" spans="1:5">
      <c r="A191" s="641" t="s">
        <v>396</v>
      </c>
      <c r="B191" s="642">
        <f>B192+B197+B199</f>
        <v>474700</v>
      </c>
      <c r="C191" s="642"/>
      <c r="D191" s="642">
        <f>D192+D197+D199</f>
        <v>0</v>
      </c>
      <c r="E191" s="642">
        <f t="shared" si="13"/>
        <v>474700</v>
      </c>
    </row>
    <row r="192" spans="1:5">
      <c r="A192" s="641" t="s">
        <v>286</v>
      </c>
      <c r="B192" s="642">
        <f>B193+B194+B196+B195</f>
        <v>412700</v>
      </c>
      <c r="C192" s="642"/>
      <c r="D192" s="642">
        <f>D193+D194+D196+D195</f>
        <v>-3000</v>
      </c>
      <c r="E192" s="642">
        <f t="shared" si="13"/>
        <v>409700</v>
      </c>
    </row>
    <row r="193" spans="1:5">
      <c r="A193" s="643" t="s">
        <v>299</v>
      </c>
      <c r="B193" s="644">
        <f>160000+35000</f>
        <v>195000</v>
      </c>
      <c r="C193" s="644"/>
      <c r="D193" s="644"/>
      <c r="E193" s="644">
        <f t="shared" si="13"/>
        <v>195000</v>
      </c>
    </row>
    <row r="194" spans="1:5">
      <c r="A194" s="645" t="s">
        <v>280</v>
      </c>
      <c r="B194" s="646">
        <v>50000</v>
      </c>
      <c r="C194" s="646"/>
      <c r="D194" s="646">
        <v>-8000</v>
      </c>
      <c r="E194" s="646">
        <f t="shared" si="13"/>
        <v>42000</v>
      </c>
    </row>
    <row r="195" spans="1:5">
      <c r="A195" s="645" t="s">
        <v>306</v>
      </c>
      <c r="B195" s="646">
        <v>163000</v>
      </c>
      <c r="C195" s="646"/>
      <c r="D195" s="646">
        <v>5000</v>
      </c>
      <c r="E195" s="646">
        <f t="shared" si="13"/>
        <v>168000</v>
      </c>
    </row>
    <row r="196" spans="1:5">
      <c r="A196" s="645" t="s">
        <v>296</v>
      </c>
      <c r="B196" s="646">
        <v>4700</v>
      </c>
      <c r="C196" s="646"/>
      <c r="D196" s="646"/>
      <c r="E196" s="646">
        <f t="shared" ref="E196:E259" si="16">SUM(B196:D196)</f>
        <v>4700</v>
      </c>
    </row>
    <row r="197" spans="1:5">
      <c r="A197" s="658" t="s">
        <v>311</v>
      </c>
      <c r="B197" s="659">
        <f>B198</f>
        <v>7000</v>
      </c>
      <c r="C197" s="659"/>
      <c r="D197" s="659">
        <f>D198</f>
        <v>3000</v>
      </c>
      <c r="E197" s="659">
        <f t="shared" si="16"/>
        <v>10000</v>
      </c>
    </row>
    <row r="198" spans="1:5">
      <c r="A198" s="643" t="s">
        <v>312</v>
      </c>
      <c r="B198" s="644">
        <v>7000</v>
      </c>
      <c r="C198" s="644"/>
      <c r="D198" s="644">
        <v>3000</v>
      </c>
      <c r="E198" s="644">
        <f t="shared" si="16"/>
        <v>10000</v>
      </c>
    </row>
    <row r="199" spans="1:5">
      <c r="A199" s="641" t="s">
        <v>275</v>
      </c>
      <c r="B199" s="642">
        <f>SUM(B200)</f>
        <v>55000</v>
      </c>
      <c r="C199" s="642"/>
      <c r="D199" s="642"/>
      <c r="E199" s="642">
        <f t="shared" si="16"/>
        <v>55000</v>
      </c>
    </row>
    <row r="200" spans="1:5">
      <c r="A200" s="645" t="s">
        <v>313</v>
      </c>
      <c r="B200" s="646">
        <f>38000+17000</f>
        <v>55000</v>
      </c>
      <c r="C200" s="646"/>
      <c r="D200" s="646"/>
      <c r="E200" s="646">
        <f t="shared" si="16"/>
        <v>55000</v>
      </c>
    </row>
    <row r="201" spans="1:5">
      <c r="A201" s="645"/>
      <c r="B201" s="646"/>
      <c r="C201" s="646"/>
      <c r="D201" s="646"/>
      <c r="E201" s="646">
        <f t="shared" si="16"/>
        <v>0</v>
      </c>
    </row>
    <row r="202" spans="1:5">
      <c r="A202" s="641" t="s">
        <v>397</v>
      </c>
      <c r="B202" s="642">
        <f>B203+B208</f>
        <v>185500</v>
      </c>
      <c r="C202" s="642">
        <f>C203+C208</f>
        <v>0</v>
      </c>
      <c r="D202" s="642">
        <f>D203+D208</f>
        <v>0</v>
      </c>
      <c r="E202" s="642">
        <f t="shared" si="16"/>
        <v>185500</v>
      </c>
    </row>
    <row r="203" spans="1:5">
      <c r="A203" s="641" t="s">
        <v>286</v>
      </c>
      <c r="B203" s="642">
        <f>B204+B205+B206+B207</f>
        <v>181500</v>
      </c>
      <c r="C203" s="642">
        <f t="shared" ref="C203:D203" si="17">C204+C205+C206+C207</f>
        <v>0</v>
      </c>
      <c r="D203" s="642">
        <f t="shared" si="17"/>
        <v>0</v>
      </c>
      <c r="E203" s="642">
        <f t="shared" si="16"/>
        <v>181500</v>
      </c>
    </row>
    <row r="204" spans="1:5">
      <c r="A204" s="645" t="s">
        <v>301</v>
      </c>
      <c r="B204" s="646">
        <v>165000</v>
      </c>
      <c r="C204" s="646">
        <v>-1000</v>
      </c>
      <c r="D204" s="646">
        <v>-5500</v>
      </c>
      <c r="E204" s="646">
        <f t="shared" si="16"/>
        <v>158500</v>
      </c>
    </row>
    <row r="205" spans="1:5">
      <c r="A205" s="645" t="s">
        <v>306</v>
      </c>
      <c r="B205" s="646">
        <v>12000</v>
      </c>
      <c r="C205" s="646"/>
      <c r="D205" s="644">
        <v>4000</v>
      </c>
      <c r="E205" s="646">
        <f t="shared" si="16"/>
        <v>16000</v>
      </c>
    </row>
    <row r="206" spans="1:5">
      <c r="A206" s="643" t="s">
        <v>299</v>
      </c>
      <c r="B206" s="644">
        <v>4500</v>
      </c>
      <c r="C206" s="644">
        <v>1000</v>
      </c>
      <c r="D206" s="644">
        <v>1350</v>
      </c>
      <c r="E206" s="644">
        <f t="shared" si="16"/>
        <v>6850</v>
      </c>
    </row>
    <row r="207" spans="1:5">
      <c r="A207" s="197" t="s">
        <v>310</v>
      </c>
      <c r="B207" s="644"/>
      <c r="C207" s="644"/>
      <c r="D207" s="642">
        <v>150</v>
      </c>
      <c r="E207" s="644">
        <f t="shared" si="16"/>
        <v>150</v>
      </c>
    </row>
    <row r="208" spans="1:5">
      <c r="A208" s="641" t="s">
        <v>271</v>
      </c>
      <c r="B208" s="642">
        <f>B209</f>
        <v>4000</v>
      </c>
      <c r="C208" s="642"/>
      <c r="D208" s="642"/>
      <c r="E208" s="644">
        <f t="shared" si="16"/>
        <v>4000</v>
      </c>
    </row>
    <row r="209" spans="1:5">
      <c r="A209" s="643" t="s">
        <v>272</v>
      </c>
      <c r="B209" s="644">
        <v>4000</v>
      </c>
      <c r="C209" s="644"/>
      <c r="D209" s="644"/>
      <c r="E209" s="644">
        <f t="shared" si="16"/>
        <v>4000</v>
      </c>
    </row>
    <row r="210" spans="1:5">
      <c r="A210" s="645"/>
      <c r="B210" s="646"/>
      <c r="C210" s="646"/>
      <c r="D210" s="646"/>
      <c r="E210" s="646">
        <f t="shared" si="16"/>
        <v>0</v>
      </c>
    </row>
    <row r="211" spans="1:5">
      <c r="A211" s="641" t="s">
        <v>398</v>
      </c>
      <c r="B211" s="642">
        <f>B212+B217</f>
        <v>195700</v>
      </c>
      <c r="C211" s="642">
        <f>C212+C217</f>
        <v>0</v>
      </c>
      <c r="D211" s="642"/>
      <c r="E211" s="642">
        <f t="shared" si="16"/>
        <v>195700</v>
      </c>
    </row>
    <row r="212" spans="1:5">
      <c r="A212" s="641" t="s">
        <v>286</v>
      </c>
      <c r="B212" s="642">
        <f>SUM(B213:B216)</f>
        <v>130752</v>
      </c>
      <c r="C212" s="642">
        <f>SUM(C213:C216)</f>
        <v>0</v>
      </c>
      <c r="D212" s="642"/>
      <c r="E212" s="642">
        <f t="shared" si="16"/>
        <v>130752</v>
      </c>
    </row>
    <row r="213" spans="1:5">
      <c r="A213" s="649" t="s">
        <v>309</v>
      </c>
      <c r="B213" s="650">
        <v>11000</v>
      </c>
      <c r="C213" s="650">
        <v>2000</v>
      </c>
      <c r="D213" s="650">
        <v>1000</v>
      </c>
      <c r="E213" s="650">
        <f t="shared" si="16"/>
        <v>14000</v>
      </c>
    </row>
    <row r="214" spans="1:5">
      <c r="A214" s="649" t="s">
        <v>299</v>
      </c>
      <c r="B214" s="650">
        <v>36362</v>
      </c>
      <c r="C214" s="650">
        <v>-2000</v>
      </c>
      <c r="D214" s="650">
        <v>-1000</v>
      </c>
      <c r="E214" s="650">
        <f t="shared" si="16"/>
        <v>33362</v>
      </c>
    </row>
    <row r="215" spans="1:5">
      <c r="A215" s="645" t="s">
        <v>306</v>
      </c>
      <c r="B215" s="646">
        <v>81890</v>
      </c>
      <c r="C215" s="646"/>
      <c r="D215" s="646"/>
      <c r="E215" s="646">
        <f t="shared" si="16"/>
        <v>81890</v>
      </c>
    </row>
    <row r="216" spans="1:5">
      <c r="A216" s="645" t="s">
        <v>296</v>
      </c>
      <c r="B216" s="646">
        <v>1500</v>
      </c>
      <c r="C216" s="646"/>
      <c r="D216" s="646"/>
      <c r="E216" s="646">
        <f t="shared" si="16"/>
        <v>1500</v>
      </c>
    </row>
    <row r="217" spans="1:5">
      <c r="A217" s="641" t="s">
        <v>271</v>
      </c>
      <c r="B217" s="642">
        <f>SUM(B218:B219)</f>
        <v>64948</v>
      </c>
      <c r="C217" s="642"/>
      <c r="D217" s="642"/>
      <c r="E217" s="642">
        <f t="shared" si="16"/>
        <v>64948</v>
      </c>
    </row>
    <row r="218" spans="1:5">
      <c r="A218" s="643" t="s">
        <v>272</v>
      </c>
      <c r="B218" s="644">
        <v>50808</v>
      </c>
      <c r="C218" s="644"/>
      <c r="D218" s="644"/>
      <c r="E218" s="644">
        <f t="shared" si="16"/>
        <v>50808</v>
      </c>
    </row>
    <row r="219" spans="1:5">
      <c r="A219" s="643" t="s">
        <v>273</v>
      </c>
      <c r="B219" s="644">
        <v>14140</v>
      </c>
      <c r="C219" s="644"/>
      <c r="D219" s="644"/>
      <c r="E219" s="644">
        <f t="shared" si="16"/>
        <v>14140</v>
      </c>
    </row>
    <row r="220" spans="1:5">
      <c r="A220" s="643"/>
      <c r="B220" s="644"/>
      <c r="C220" s="644"/>
      <c r="D220" s="644"/>
      <c r="E220" s="644">
        <f t="shared" si="16"/>
        <v>0</v>
      </c>
    </row>
    <row r="221" spans="1:5">
      <c r="A221" s="639" t="s">
        <v>572</v>
      </c>
      <c r="B221" s="640">
        <f>B223+B231+B242+B255+B266+B277+B289+B297</f>
        <v>4665001</v>
      </c>
      <c r="C221" s="640">
        <f>C223+C231+C242+C255+C266+C277+C289+C297</f>
        <v>-88745</v>
      </c>
      <c r="D221" s="640">
        <f>D223+D231+D242+D255+D266+D277+D289+D297</f>
        <v>-44052</v>
      </c>
      <c r="E221" s="640">
        <f t="shared" si="16"/>
        <v>4532204</v>
      </c>
    </row>
    <row r="222" spans="1:5">
      <c r="A222" s="643"/>
      <c r="B222" s="644"/>
      <c r="C222" s="644"/>
      <c r="D222" s="644"/>
      <c r="E222" s="644">
        <f t="shared" si="16"/>
        <v>0</v>
      </c>
    </row>
    <row r="223" spans="1:5">
      <c r="A223" s="658" t="s">
        <v>378</v>
      </c>
      <c r="B223" s="659">
        <f>B224+B228</f>
        <v>36492</v>
      </c>
      <c r="C223" s="659"/>
      <c r="D223" s="666">
        <f>SUM(D224+D228)</f>
        <v>-3830</v>
      </c>
      <c r="E223" s="659">
        <f t="shared" si="16"/>
        <v>32662</v>
      </c>
    </row>
    <row r="224" spans="1:5">
      <c r="A224" s="641" t="s">
        <v>287</v>
      </c>
      <c r="B224" s="642">
        <f>B225+B226+B227</f>
        <v>27420</v>
      </c>
      <c r="C224" s="642"/>
      <c r="D224" s="666">
        <f>SUM(D225+D226+D227)</f>
        <v>-3750</v>
      </c>
      <c r="E224" s="642">
        <f t="shared" si="16"/>
        <v>23670</v>
      </c>
    </row>
    <row r="225" spans="1:5">
      <c r="A225" s="645" t="s">
        <v>280</v>
      </c>
      <c r="B225" s="646">
        <v>18000</v>
      </c>
      <c r="C225" s="646"/>
      <c r="D225" s="203">
        <v>-2500</v>
      </c>
      <c r="E225" s="646">
        <f t="shared" si="16"/>
        <v>15500</v>
      </c>
    </row>
    <row r="226" spans="1:5">
      <c r="A226" s="645" t="s">
        <v>298</v>
      </c>
      <c r="B226" s="646">
        <v>7920</v>
      </c>
      <c r="C226" s="646"/>
      <c r="D226" s="666"/>
      <c r="E226" s="646">
        <f t="shared" si="16"/>
        <v>7920</v>
      </c>
    </row>
    <row r="227" spans="1:5">
      <c r="A227" s="645" t="s">
        <v>297</v>
      </c>
      <c r="B227" s="646">
        <v>1500</v>
      </c>
      <c r="C227" s="646"/>
      <c r="D227" s="203">
        <v>-1250</v>
      </c>
      <c r="E227" s="646">
        <f t="shared" si="16"/>
        <v>250</v>
      </c>
    </row>
    <row r="228" spans="1:5">
      <c r="A228" s="641" t="s">
        <v>271</v>
      </c>
      <c r="B228" s="642">
        <f>B229</f>
        <v>9072</v>
      </c>
      <c r="C228" s="642"/>
      <c r="D228" s="666">
        <f>SUM(D229)</f>
        <v>-80</v>
      </c>
      <c r="E228" s="642">
        <f t="shared" si="16"/>
        <v>8992</v>
      </c>
    </row>
    <row r="229" spans="1:5">
      <c r="A229" s="643" t="s">
        <v>272</v>
      </c>
      <c r="B229" s="644">
        <v>9072</v>
      </c>
      <c r="C229" s="644"/>
      <c r="D229" s="666">
        <v>-80</v>
      </c>
      <c r="E229" s="644">
        <f t="shared" si="16"/>
        <v>8992</v>
      </c>
    </row>
    <row r="230" spans="1:5">
      <c r="A230" s="643"/>
      <c r="B230" s="644"/>
      <c r="C230" s="644"/>
      <c r="D230" s="644"/>
      <c r="E230" s="644">
        <f t="shared" si="16"/>
        <v>0</v>
      </c>
    </row>
    <row r="231" spans="1:5">
      <c r="A231" s="641" t="s">
        <v>379</v>
      </c>
      <c r="B231" s="642">
        <f>SUM(B232+B236+B239)</f>
        <v>1351337</v>
      </c>
      <c r="C231" s="642">
        <f t="shared" ref="C231" si="18">SUM(C232+C236+C239)</f>
        <v>12800</v>
      </c>
      <c r="D231" s="666">
        <f>D232+D236+D239</f>
        <v>20600</v>
      </c>
      <c r="E231" s="642">
        <f t="shared" si="16"/>
        <v>1384737</v>
      </c>
    </row>
    <row r="232" spans="1:5">
      <c r="A232" s="641" t="s">
        <v>287</v>
      </c>
      <c r="B232" s="642">
        <f>SUM(B233:B235)</f>
        <v>371170</v>
      </c>
      <c r="C232" s="642">
        <f t="shared" ref="C232" si="19">SUM(C233:C235)</f>
        <v>12000</v>
      </c>
      <c r="D232" s="666">
        <f>D233+D234+D235</f>
        <v>20000</v>
      </c>
      <c r="E232" s="642">
        <f t="shared" si="16"/>
        <v>403170</v>
      </c>
    </row>
    <row r="233" spans="1:5">
      <c r="A233" s="643" t="s">
        <v>567</v>
      </c>
      <c r="B233" s="644">
        <v>295170</v>
      </c>
      <c r="C233" s="644"/>
      <c r="D233" s="666"/>
      <c r="E233" s="644">
        <f t="shared" si="16"/>
        <v>295170</v>
      </c>
    </row>
    <row r="234" spans="1:5">
      <c r="A234" s="643" t="s">
        <v>315</v>
      </c>
      <c r="B234" s="644">
        <v>31000</v>
      </c>
      <c r="C234" s="644"/>
      <c r="D234" s="666">
        <v>9000</v>
      </c>
      <c r="E234" s="644">
        <f t="shared" si="16"/>
        <v>40000</v>
      </c>
    </row>
    <row r="235" spans="1:5">
      <c r="A235" s="643" t="s">
        <v>297</v>
      </c>
      <c r="B235" s="644">
        <v>45000</v>
      </c>
      <c r="C235" s="644">
        <v>12000</v>
      </c>
      <c r="D235" s="202">
        <v>11000</v>
      </c>
      <c r="E235" s="644">
        <f t="shared" si="16"/>
        <v>68000</v>
      </c>
    </row>
    <row r="236" spans="1:5">
      <c r="A236" s="641" t="s">
        <v>271</v>
      </c>
      <c r="B236" s="642">
        <f>SUM(B237:B238)</f>
        <v>977767</v>
      </c>
      <c r="C236" s="642">
        <f t="shared" ref="C236" si="20">SUM(C237:C238)</f>
        <v>1200</v>
      </c>
      <c r="D236" s="642"/>
      <c r="E236" s="642">
        <f t="shared" si="16"/>
        <v>978967</v>
      </c>
    </row>
    <row r="237" spans="1:5">
      <c r="A237" s="643" t="s">
        <v>272</v>
      </c>
      <c r="B237" s="644">
        <v>967953</v>
      </c>
      <c r="C237" s="644"/>
      <c r="D237" s="644"/>
      <c r="E237" s="644">
        <f t="shared" si="16"/>
        <v>967953</v>
      </c>
    </row>
    <row r="238" spans="1:5">
      <c r="A238" s="643" t="s">
        <v>273</v>
      </c>
      <c r="B238" s="644">
        <v>9814</v>
      </c>
      <c r="C238" s="644">
        <v>1200</v>
      </c>
      <c r="D238" s="644"/>
      <c r="E238" s="644">
        <f t="shared" si="16"/>
        <v>11014</v>
      </c>
    </row>
    <row r="239" spans="1:5">
      <c r="A239" s="641" t="s">
        <v>275</v>
      </c>
      <c r="B239" s="642">
        <f>SUM(B240)</f>
        <v>2400</v>
      </c>
      <c r="C239" s="642">
        <f t="shared" ref="C239" si="21">SUM(C240)</f>
        <v>-400</v>
      </c>
      <c r="D239" s="666">
        <f>D240</f>
        <v>600</v>
      </c>
      <c r="E239" s="642">
        <f t="shared" si="16"/>
        <v>2600</v>
      </c>
    </row>
    <row r="240" spans="1:5">
      <c r="A240" s="645" t="s">
        <v>313</v>
      </c>
      <c r="B240" s="646">
        <v>2400</v>
      </c>
      <c r="C240" s="646">
        <v>-400</v>
      </c>
      <c r="D240" s="203">
        <v>600</v>
      </c>
      <c r="E240" s="646">
        <f t="shared" si="16"/>
        <v>2600</v>
      </c>
    </row>
    <row r="241" spans="1:5">
      <c r="A241" s="641"/>
      <c r="B241" s="642"/>
      <c r="C241" s="642"/>
      <c r="D241" s="642"/>
      <c r="E241" s="642">
        <f t="shared" si="16"/>
        <v>0</v>
      </c>
    </row>
    <row r="242" spans="1:5">
      <c r="A242" s="641" t="s">
        <v>380</v>
      </c>
      <c r="B242" s="642">
        <f>SUM(B243+B247+B252)</f>
        <v>1368345</v>
      </c>
      <c r="C242" s="642">
        <f t="shared" ref="C242" si="22">SUM(C243+C247+C252)</f>
        <v>-77000</v>
      </c>
      <c r="D242" s="666">
        <f>D243+D247+D251</f>
        <v>-21629</v>
      </c>
      <c r="E242" s="642">
        <f t="shared" si="16"/>
        <v>1269716</v>
      </c>
    </row>
    <row r="243" spans="1:5">
      <c r="A243" s="641" t="s">
        <v>287</v>
      </c>
      <c r="B243" s="642">
        <f>SUM(B244+B245+B246)</f>
        <v>1287000</v>
      </c>
      <c r="C243" s="642">
        <f t="shared" ref="C243" si="23">SUM(C244+C245+C246)</f>
        <v>-75800</v>
      </c>
      <c r="D243" s="666">
        <f>D244+D245+D246</f>
        <v>-25000</v>
      </c>
      <c r="E243" s="642">
        <f t="shared" si="16"/>
        <v>1186200</v>
      </c>
    </row>
    <row r="244" spans="1:5">
      <c r="A244" s="643" t="s">
        <v>567</v>
      </c>
      <c r="B244" s="644">
        <v>1255000</v>
      </c>
      <c r="C244" s="644">
        <v>-75800</v>
      </c>
      <c r="D244" s="202">
        <v>-25000</v>
      </c>
      <c r="E244" s="644">
        <f t="shared" si="16"/>
        <v>1154200</v>
      </c>
    </row>
    <row r="245" spans="1:5">
      <c r="A245" s="643" t="s">
        <v>315</v>
      </c>
      <c r="B245" s="644">
        <v>20000</v>
      </c>
      <c r="C245" s="644"/>
      <c r="D245" s="666"/>
      <c r="E245" s="644">
        <f t="shared" si="16"/>
        <v>20000</v>
      </c>
    </row>
    <row r="246" spans="1:5">
      <c r="A246" s="643" t="s">
        <v>297</v>
      </c>
      <c r="B246" s="644">
        <v>12000</v>
      </c>
      <c r="C246" s="644"/>
      <c r="D246" s="666"/>
      <c r="E246" s="644">
        <f t="shared" si="16"/>
        <v>12000</v>
      </c>
    </row>
    <row r="247" spans="1:5">
      <c r="A247" s="641" t="s">
        <v>271</v>
      </c>
      <c r="B247" s="642">
        <f>SUM(B248+B249+B250)</f>
        <v>75345</v>
      </c>
      <c r="C247" s="642">
        <f t="shared" ref="C247" si="24">SUM(C248+C249+C250)</f>
        <v>-1200</v>
      </c>
      <c r="D247" s="666">
        <f>D248+D250</f>
        <v>-129</v>
      </c>
      <c r="E247" s="642">
        <f t="shared" si="16"/>
        <v>74016</v>
      </c>
    </row>
    <row r="248" spans="1:5">
      <c r="A248" s="643" t="s">
        <v>272</v>
      </c>
      <c r="B248" s="644">
        <v>34145</v>
      </c>
      <c r="C248" s="644">
        <v>-1200</v>
      </c>
      <c r="D248" s="666">
        <v>-29</v>
      </c>
      <c r="E248" s="644">
        <f t="shared" si="16"/>
        <v>32916</v>
      </c>
    </row>
    <row r="249" spans="1:5">
      <c r="A249" s="643" t="s">
        <v>273</v>
      </c>
      <c r="B249" s="644">
        <v>40800</v>
      </c>
      <c r="C249" s="644"/>
      <c r="D249" s="644"/>
      <c r="E249" s="644">
        <f t="shared" si="16"/>
        <v>40800</v>
      </c>
    </row>
    <row r="250" spans="1:5">
      <c r="A250" s="643" t="s">
        <v>288</v>
      </c>
      <c r="B250" s="644">
        <v>400</v>
      </c>
      <c r="C250" s="644"/>
      <c r="D250" s="202">
        <v>-100</v>
      </c>
      <c r="E250" s="644">
        <f t="shared" si="16"/>
        <v>300</v>
      </c>
    </row>
    <row r="251" spans="1:5">
      <c r="A251" s="641" t="s">
        <v>275</v>
      </c>
      <c r="B251" s="642">
        <f>SUM(B252)</f>
        <v>6000</v>
      </c>
      <c r="C251" s="642">
        <f t="shared" ref="C251" si="25">SUM(C252)</f>
        <v>0</v>
      </c>
      <c r="D251" s="666">
        <f>D252+D253</f>
        <v>3500</v>
      </c>
      <c r="E251" s="642">
        <f t="shared" si="16"/>
        <v>9500</v>
      </c>
    </row>
    <row r="252" spans="1:5">
      <c r="A252" s="645" t="s">
        <v>313</v>
      </c>
      <c r="B252" s="646">
        <v>6000</v>
      </c>
      <c r="C252" s="646"/>
      <c r="D252" s="666"/>
      <c r="E252" s="646">
        <f t="shared" si="16"/>
        <v>6000</v>
      </c>
    </row>
    <row r="253" spans="1:5">
      <c r="A253" s="645" t="s">
        <v>277</v>
      </c>
      <c r="B253" s="646"/>
      <c r="C253" s="646"/>
      <c r="D253" s="666">
        <v>3500</v>
      </c>
      <c r="E253" s="646">
        <f t="shared" si="16"/>
        <v>3500</v>
      </c>
    </row>
    <row r="254" spans="1:5">
      <c r="A254" s="641"/>
      <c r="B254" s="642"/>
      <c r="C254" s="642"/>
      <c r="D254" s="642"/>
      <c r="E254" s="642">
        <f t="shared" si="16"/>
        <v>0</v>
      </c>
    </row>
    <row r="255" spans="1:5">
      <c r="A255" s="641" t="s">
        <v>381</v>
      </c>
      <c r="B255" s="642">
        <f>SUM(B256+B260+B263)</f>
        <v>92040</v>
      </c>
      <c r="C255" s="642"/>
      <c r="D255" s="666"/>
      <c r="E255" s="642">
        <f t="shared" si="16"/>
        <v>92040</v>
      </c>
    </row>
    <row r="256" spans="1:5">
      <c r="A256" s="641" t="s">
        <v>287</v>
      </c>
      <c r="B256" s="642">
        <f>SUM(B257+B258+B259)</f>
        <v>79493</v>
      </c>
      <c r="C256" s="642"/>
      <c r="D256" s="666"/>
      <c r="E256" s="642">
        <f t="shared" si="16"/>
        <v>79493</v>
      </c>
    </row>
    <row r="257" spans="1:5">
      <c r="A257" s="643" t="s">
        <v>567</v>
      </c>
      <c r="B257" s="644">
        <f>75680+2350</f>
        <v>78030</v>
      </c>
      <c r="C257" s="644"/>
      <c r="D257" s="666">
        <v>105</v>
      </c>
      <c r="E257" s="644">
        <f t="shared" si="16"/>
        <v>78135</v>
      </c>
    </row>
    <row r="258" spans="1:5">
      <c r="A258" s="643" t="s">
        <v>315</v>
      </c>
      <c r="B258" s="644">
        <v>570</v>
      </c>
      <c r="C258" s="644"/>
      <c r="D258" s="666">
        <v>100</v>
      </c>
      <c r="E258" s="644">
        <f t="shared" si="16"/>
        <v>670</v>
      </c>
    </row>
    <row r="259" spans="1:5">
      <c r="A259" s="643" t="s">
        <v>297</v>
      </c>
      <c r="B259" s="644">
        <v>893</v>
      </c>
      <c r="C259" s="644"/>
      <c r="D259" s="666">
        <v>-205</v>
      </c>
      <c r="E259" s="644">
        <f t="shared" si="16"/>
        <v>688</v>
      </c>
    </row>
    <row r="260" spans="1:5">
      <c r="A260" s="641" t="s">
        <v>316</v>
      </c>
      <c r="B260" s="642">
        <f>SUM(B261+B262)</f>
        <v>1279</v>
      </c>
      <c r="C260" s="642"/>
      <c r="D260" s="642"/>
      <c r="E260" s="642">
        <f t="shared" ref="E260:E323" si="26">SUM(B260:D260)</f>
        <v>1279</v>
      </c>
    </row>
    <row r="261" spans="1:5">
      <c r="A261" s="643" t="s">
        <v>317</v>
      </c>
      <c r="B261" s="644">
        <v>474</v>
      </c>
      <c r="C261" s="644"/>
      <c r="D261" s="644"/>
      <c r="E261" s="644">
        <f t="shared" si="26"/>
        <v>474</v>
      </c>
    </row>
    <row r="262" spans="1:5">
      <c r="A262" s="643" t="s">
        <v>273</v>
      </c>
      <c r="B262" s="644">
        <v>805</v>
      </c>
      <c r="C262" s="644"/>
      <c r="D262" s="644"/>
      <c r="E262" s="644">
        <f t="shared" si="26"/>
        <v>805</v>
      </c>
    </row>
    <row r="263" spans="1:5">
      <c r="A263" s="641" t="s">
        <v>271</v>
      </c>
      <c r="B263" s="642">
        <f>SUM(B264)</f>
        <v>11268</v>
      </c>
      <c r="C263" s="642"/>
      <c r="D263" s="642"/>
      <c r="E263" s="642">
        <f t="shared" si="26"/>
        <v>11268</v>
      </c>
    </row>
    <row r="264" spans="1:5">
      <c r="A264" s="643" t="s">
        <v>272</v>
      </c>
      <c r="B264" s="644">
        <v>11268</v>
      </c>
      <c r="C264" s="644"/>
      <c r="D264" s="644"/>
      <c r="E264" s="644">
        <f t="shared" si="26"/>
        <v>11268</v>
      </c>
    </row>
    <row r="265" spans="1:5">
      <c r="A265" s="667"/>
      <c r="B265" s="668"/>
      <c r="C265" s="668"/>
      <c r="D265" s="668"/>
      <c r="E265" s="668">
        <f t="shared" si="26"/>
        <v>0</v>
      </c>
    </row>
    <row r="266" spans="1:5">
      <c r="A266" s="658" t="s">
        <v>548</v>
      </c>
      <c r="B266" s="659">
        <f>SUM(B267+B271+B274)</f>
        <v>251350</v>
      </c>
      <c r="C266" s="659">
        <f t="shared" ref="C266" si="27">SUM(C267+C271+C274)</f>
        <v>3000</v>
      </c>
      <c r="D266" s="205">
        <f>SUM(D267+D271+D274)</f>
        <v>1000</v>
      </c>
      <c r="E266" s="659">
        <f t="shared" si="26"/>
        <v>255350</v>
      </c>
    </row>
    <row r="267" spans="1:5">
      <c r="A267" s="641" t="s">
        <v>287</v>
      </c>
      <c r="B267" s="642">
        <f>SUM(B268+B269+B270)</f>
        <v>221069</v>
      </c>
      <c r="C267" s="642">
        <f t="shared" ref="C267" si="28">SUM(C268+C269+C270)</f>
        <v>2795</v>
      </c>
      <c r="D267" s="642"/>
      <c r="E267" s="642">
        <f t="shared" si="26"/>
        <v>223864</v>
      </c>
    </row>
    <row r="268" spans="1:5">
      <c r="A268" s="643" t="s">
        <v>567</v>
      </c>
      <c r="B268" s="644">
        <v>220000</v>
      </c>
      <c r="C268" s="644">
        <v>2795</v>
      </c>
      <c r="D268" s="644"/>
      <c r="E268" s="644">
        <f t="shared" si="26"/>
        <v>222795</v>
      </c>
    </row>
    <row r="269" spans="1:5">
      <c r="A269" s="643" t="s">
        <v>315</v>
      </c>
      <c r="B269" s="644">
        <v>819</v>
      </c>
      <c r="C269" s="644"/>
      <c r="D269" s="644"/>
      <c r="E269" s="644">
        <f t="shared" si="26"/>
        <v>819</v>
      </c>
    </row>
    <row r="270" spans="1:5">
      <c r="A270" s="643" t="s">
        <v>297</v>
      </c>
      <c r="B270" s="644">
        <v>250</v>
      </c>
      <c r="C270" s="644"/>
      <c r="D270" s="644"/>
      <c r="E270" s="644">
        <f t="shared" si="26"/>
        <v>250</v>
      </c>
    </row>
    <row r="271" spans="1:5">
      <c r="A271" s="641" t="s">
        <v>271</v>
      </c>
      <c r="B271" s="642">
        <f>SUM(B272+B273)</f>
        <v>28281</v>
      </c>
      <c r="C271" s="642">
        <f t="shared" ref="C271" si="29">SUM(C272+C273)</f>
        <v>205</v>
      </c>
      <c r="D271" s="642"/>
      <c r="E271" s="642">
        <f t="shared" si="26"/>
        <v>28486</v>
      </c>
    </row>
    <row r="272" spans="1:5">
      <c r="A272" s="643" t="s">
        <v>272</v>
      </c>
      <c r="B272" s="644">
        <v>21181</v>
      </c>
      <c r="C272" s="644"/>
      <c r="D272" s="644"/>
      <c r="E272" s="644">
        <f t="shared" si="26"/>
        <v>21181</v>
      </c>
    </row>
    <row r="273" spans="1:5">
      <c r="A273" s="643" t="s">
        <v>273</v>
      </c>
      <c r="B273" s="644">
        <v>7100</v>
      </c>
      <c r="C273" s="644">
        <v>205</v>
      </c>
      <c r="D273" s="644"/>
      <c r="E273" s="644">
        <f t="shared" si="26"/>
        <v>7305</v>
      </c>
    </row>
    <row r="274" spans="1:5">
      <c r="A274" s="661" t="s">
        <v>275</v>
      </c>
      <c r="B274" s="662">
        <f>SUM(B275)</f>
        <v>2000</v>
      </c>
      <c r="C274" s="662">
        <f t="shared" ref="C274" si="30">SUM(C275)</f>
        <v>0</v>
      </c>
      <c r="D274" s="206">
        <f>SUM(D275)</f>
        <v>1000</v>
      </c>
      <c r="E274" s="662">
        <f t="shared" si="26"/>
        <v>3000</v>
      </c>
    </row>
    <row r="275" spans="1:5">
      <c r="A275" s="645" t="s">
        <v>313</v>
      </c>
      <c r="B275" s="646">
        <v>2000</v>
      </c>
      <c r="C275" s="646"/>
      <c r="D275" s="666">
        <v>1000</v>
      </c>
      <c r="E275" s="646">
        <f t="shared" si="26"/>
        <v>3000</v>
      </c>
    </row>
    <row r="276" spans="1:5">
      <c r="A276" s="643"/>
      <c r="B276" s="644"/>
      <c r="C276" s="644"/>
      <c r="D276" s="644"/>
      <c r="E276" s="644">
        <f t="shared" si="26"/>
        <v>0</v>
      </c>
    </row>
    <row r="277" spans="1:5">
      <c r="A277" s="641" t="s">
        <v>549</v>
      </c>
      <c r="B277" s="642">
        <f>SUM(B278+B282+B285)</f>
        <v>253748</v>
      </c>
      <c r="C277" s="642"/>
      <c r="D277" s="642"/>
      <c r="E277" s="642">
        <f t="shared" si="26"/>
        <v>253748</v>
      </c>
    </row>
    <row r="278" spans="1:5">
      <c r="A278" s="641" t="s">
        <v>287</v>
      </c>
      <c r="B278" s="642">
        <f>SUM(B279+B280+B281)</f>
        <v>199515</v>
      </c>
      <c r="C278" s="642"/>
      <c r="D278" s="200">
        <f>SUM(D279+D280+D281)</f>
        <v>-8020</v>
      </c>
      <c r="E278" s="642">
        <f t="shared" si="26"/>
        <v>191495</v>
      </c>
    </row>
    <row r="279" spans="1:5">
      <c r="A279" s="643" t="s">
        <v>567</v>
      </c>
      <c r="B279" s="644">
        <v>146600</v>
      </c>
      <c r="C279" s="644"/>
      <c r="D279" s="666">
        <v>-7870</v>
      </c>
      <c r="E279" s="644">
        <f t="shared" si="26"/>
        <v>138730</v>
      </c>
    </row>
    <row r="280" spans="1:5">
      <c r="A280" s="643" t="s">
        <v>315</v>
      </c>
      <c r="B280" s="644">
        <v>6500</v>
      </c>
      <c r="C280" s="644"/>
      <c r="D280" s="666"/>
      <c r="E280" s="644">
        <f t="shared" si="26"/>
        <v>6500</v>
      </c>
    </row>
    <row r="281" spans="1:5">
      <c r="A281" s="643" t="s">
        <v>297</v>
      </c>
      <c r="B281" s="644">
        <v>46415</v>
      </c>
      <c r="C281" s="644"/>
      <c r="D281" s="666">
        <v>-150</v>
      </c>
      <c r="E281" s="644">
        <f t="shared" si="26"/>
        <v>46265</v>
      </c>
    </row>
    <row r="282" spans="1:5">
      <c r="A282" s="641" t="s">
        <v>271</v>
      </c>
      <c r="B282" s="642">
        <f>SUM(B283+B284)</f>
        <v>50533</v>
      </c>
      <c r="C282" s="642"/>
      <c r="D282" s="200">
        <f>SUM(D283+D284)</f>
        <v>8520</v>
      </c>
      <c r="E282" s="642">
        <f t="shared" si="26"/>
        <v>59053</v>
      </c>
    </row>
    <row r="283" spans="1:5">
      <c r="A283" s="643" t="s">
        <v>272</v>
      </c>
      <c r="B283" s="644">
        <v>38733</v>
      </c>
      <c r="C283" s="644"/>
      <c r="D283" s="666">
        <v>6636</v>
      </c>
      <c r="E283" s="644">
        <f t="shared" si="26"/>
        <v>45369</v>
      </c>
    </row>
    <row r="284" spans="1:5">
      <c r="A284" s="643" t="s">
        <v>273</v>
      </c>
      <c r="B284" s="644">
        <v>11800</v>
      </c>
      <c r="C284" s="644"/>
      <c r="D284" s="666">
        <v>1884</v>
      </c>
      <c r="E284" s="644">
        <f t="shared" si="26"/>
        <v>13684</v>
      </c>
    </row>
    <row r="285" spans="1:5">
      <c r="A285" s="641" t="s">
        <v>275</v>
      </c>
      <c r="B285" s="642">
        <f>SUM(B286+B287)</f>
        <v>3700</v>
      </c>
      <c r="C285" s="642"/>
      <c r="D285" s="200">
        <f>SUM(D286+D287)</f>
        <v>-500</v>
      </c>
      <c r="E285" s="642">
        <f t="shared" si="26"/>
        <v>3200</v>
      </c>
    </row>
    <row r="286" spans="1:5">
      <c r="A286" s="645" t="s">
        <v>313</v>
      </c>
      <c r="B286" s="646">
        <v>2700</v>
      </c>
      <c r="C286" s="646"/>
      <c r="D286" s="666">
        <v>50</v>
      </c>
      <c r="E286" s="646">
        <f t="shared" si="26"/>
        <v>2750</v>
      </c>
    </row>
    <row r="287" spans="1:5">
      <c r="A287" s="643" t="s">
        <v>314</v>
      </c>
      <c r="B287" s="644">
        <v>1000</v>
      </c>
      <c r="C287" s="644"/>
      <c r="D287" s="666">
        <v>-550</v>
      </c>
      <c r="E287" s="644">
        <f t="shared" si="26"/>
        <v>450</v>
      </c>
    </row>
    <row r="288" spans="1:5">
      <c r="A288" s="643"/>
      <c r="B288" s="644"/>
      <c r="C288" s="644"/>
      <c r="D288" s="644"/>
      <c r="E288" s="644">
        <f t="shared" si="26"/>
        <v>0</v>
      </c>
    </row>
    <row r="289" spans="1:5">
      <c r="A289" s="661" t="s">
        <v>573</v>
      </c>
      <c r="B289" s="662">
        <f>SUM(B290+B294)</f>
        <v>133255</v>
      </c>
      <c r="C289" s="662">
        <f t="shared" ref="C289" si="31">SUM(C290+C294)</f>
        <v>-33145</v>
      </c>
      <c r="D289" s="206">
        <f>SUM(D290+D294)</f>
        <v>-40381</v>
      </c>
      <c r="E289" s="662">
        <f t="shared" si="26"/>
        <v>59729</v>
      </c>
    </row>
    <row r="290" spans="1:5">
      <c r="A290" s="641" t="s">
        <v>287</v>
      </c>
      <c r="B290" s="642">
        <f>SUM(B291+B292+B293)</f>
        <v>132055</v>
      </c>
      <c r="C290" s="642">
        <f t="shared" ref="C290" si="32">SUM(C291+C292+C293)</f>
        <v>-33145</v>
      </c>
      <c r="D290" s="200">
        <f>SUM(D291+D292+D293)</f>
        <v>-43990</v>
      </c>
      <c r="E290" s="642">
        <f t="shared" si="26"/>
        <v>54920</v>
      </c>
    </row>
    <row r="291" spans="1:5">
      <c r="A291" s="643" t="s">
        <v>506</v>
      </c>
      <c r="B291" s="644">
        <v>77440</v>
      </c>
      <c r="C291" s="644">
        <v>-33145</v>
      </c>
      <c r="D291" s="666">
        <v>-185</v>
      </c>
      <c r="E291" s="644">
        <f t="shared" si="26"/>
        <v>44110</v>
      </c>
    </row>
    <row r="292" spans="1:5">
      <c r="A292" s="240" t="s">
        <v>634</v>
      </c>
      <c r="B292" s="238">
        <v>9000</v>
      </c>
      <c r="C292" s="238"/>
      <c r="D292" s="238"/>
      <c r="E292" s="238">
        <f t="shared" si="26"/>
        <v>9000</v>
      </c>
    </row>
    <row r="293" spans="1:5">
      <c r="A293" s="643" t="s">
        <v>507</v>
      </c>
      <c r="B293" s="644">
        <v>45615</v>
      </c>
      <c r="C293" s="644"/>
      <c r="D293" s="666">
        <v>-43805</v>
      </c>
      <c r="E293" s="644">
        <f t="shared" si="26"/>
        <v>1810</v>
      </c>
    </row>
    <row r="294" spans="1:5">
      <c r="A294" s="641" t="s">
        <v>271</v>
      </c>
      <c r="B294" s="642">
        <f>SUM(B295)</f>
        <v>1200</v>
      </c>
      <c r="C294" s="642">
        <f t="shared" ref="C294" si="33">SUM(C295)</f>
        <v>0</v>
      </c>
      <c r="D294" s="200">
        <f>SUM(D295)</f>
        <v>3609</v>
      </c>
      <c r="E294" s="642">
        <f t="shared" si="26"/>
        <v>4809</v>
      </c>
    </row>
    <row r="295" spans="1:5">
      <c r="A295" s="643" t="s">
        <v>635</v>
      </c>
      <c r="B295" s="644">
        <v>1200</v>
      </c>
      <c r="C295" s="644"/>
      <c r="D295" s="666">
        <v>3609</v>
      </c>
      <c r="E295" s="644">
        <f t="shared" si="26"/>
        <v>4809</v>
      </c>
    </row>
    <row r="296" spans="1:5">
      <c r="A296" s="643"/>
      <c r="B296" s="644"/>
      <c r="C296" s="644"/>
      <c r="D296" s="644"/>
      <c r="E296" s="644">
        <f t="shared" si="26"/>
        <v>0</v>
      </c>
    </row>
    <row r="297" spans="1:5">
      <c r="A297" s="641" t="s">
        <v>550</v>
      </c>
      <c r="B297" s="642">
        <f>SUM(B298+B302+B306)</f>
        <v>1178434</v>
      </c>
      <c r="C297" s="642">
        <f t="shared" ref="C297" si="34">SUM(C298+C302+C306)</f>
        <v>5600</v>
      </c>
      <c r="D297" s="200">
        <f>SUM(D298+D302+D306)</f>
        <v>188</v>
      </c>
      <c r="E297" s="642">
        <f t="shared" si="26"/>
        <v>1184222</v>
      </c>
    </row>
    <row r="298" spans="1:5">
      <c r="A298" s="641" t="s">
        <v>287</v>
      </c>
      <c r="B298" s="642">
        <f>SUM(B299+B300+B301)</f>
        <v>1083196</v>
      </c>
      <c r="C298" s="642">
        <f t="shared" ref="C298" si="35">SUM(C299+C300+C301)</f>
        <v>0</v>
      </c>
      <c r="D298" s="200">
        <f>SUM(D299+D300+D301)</f>
        <v>188</v>
      </c>
      <c r="E298" s="642">
        <f t="shared" si="26"/>
        <v>1083384</v>
      </c>
    </row>
    <row r="299" spans="1:5">
      <c r="A299" s="643" t="s">
        <v>567</v>
      </c>
      <c r="B299" s="644">
        <f>762652+21000</f>
        <v>783652</v>
      </c>
      <c r="C299" s="644"/>
      <c r="D299" s="666"/>
      <c r="E299" s="644">
        <f t="shared" si="26"/>
        <v>783652</v>
      </c>
    </row>
    <row r="300" spans="1:5">
      <c r="A300" s="643" t="s">
        <v>315</v>
      </c>
      <c r="B300" s="644">
        <f>159283+15700+40000</f>
        <v>214983</v>
      </c>
      <c r="C300" s="644"/>
      <c r="D300" s="666"/>
      <c r="E300" s="644">
        <f t="shared" si="26"/>
        <v>214983</v>
      </c>
    </row>
    <row r="301" spans="1:5">
      <c r="A301" s="643" t="s">
        <v>297</v>
      </c>
      <c r="B301" s="644">
        <f>67121+1440+16000</f>
        <v>84561</v>
      </c>
      <c r="C301" s="644"/>
      <c r="D301" s="666">
        <v>188</v>
      </c>
      <c r="E301" s="644">
        <f t="shared" si="26"/>
        <v>84749</v>
      </c>
    </row>
    <row r="302" spans="1:5">
      <c r="A302" s="641" t="s">
        <v>271</v>
      </c>
      <c r="B302" s="642">
        <f>SUM(B303+B304)</f>
        <v>70838</v>
      </c>
      <c r="C302" s="642">
        <f t="shared" ref="C302" si="36">SUM(C303+C304)</f>
        <v>5600</v>
      </c>
      <c r="D302" s="642"/>
      <c r="E302" s="642">
        <f t="shared" si="26"/>
        <v>76438</v>
      </c>
    </row>
    <row r="303" spans="1:5">
      <c r="A303" s="643" t="s">
        <v>272</v>
      </c>
      <c r="B303" s="644">
        <f>48920+4120</f>
        <v>53040</v>
      </c>
      <c r="C303" s="644">
        <v>5600</v>
      </c>
      <c r="D303" s="644"/>
      <c r="E303" s="644">
        <f t="shared" si="26"/>
        <v>58640</v>
      </c>
    </row>
    <row r="304" spans="1:5">
      <c r="A304" s="643" t="s">
        <v>273</v>
      </c>
      <c r="B304" s="644">
        <v>17798</v>
      </c>
      <c r="C304" s="644"/>
      <c r="D304" s="644"/>
      <c r="E304" s="644">
        <f t="shared" si="26"/>
        <v>17798</v>
      </c>
    </row>
    <row r="305" spans="1:5">
      <c r="A305" s="643" t="s">
        <v>1103</v>
      </c>
      <c r="B305" s="644"/>
      <c r="C305" s="644"/>
      <c r="D305" s="644"/>
      <c r="E305" s="644">
        <f t="shared" si="26"/>
        <v>0</v>
      </c>
    </row>
    <row r="306" spans="1:5">
      <c r="A306" s="641" t="s">
        <v>275</v>
      </c>
      <c r="B306" s="642">
        <f>SUM(B307+B308)</f>
        <v>24400</v>
      </c>
      <c r="C306" s="642">
        <f t="shared" ref="C306" si="37">SUM(C307+C308)</f>
        <v>0</v>
      </c>
      <c r="D306" s="642"/>
      <c r="E306" s="642">
        <f t="shared" si="26"/>
        <v>24400</v>
      </c>
    </row>
    <row r="307" spans="1:5">
      <c r="A307" s="645" t="s">
        <v>313</v>
      </c>
      <c r="B307" s="646">
        <f>10000+4400</f>
        <v>14400</v>
      </c>
      <c r="C307" s="646"/>
      <c r="D307" s="646"/>
      <c r="E307" s="646">
        <f t="shared" si="26"/>
        <v>14400</v>
      </c>
    </row>
    <row r="308" spans="1:5">
      <c r="A308" s="240" t="s">
        <v>314</v>
      </c>
      <c r="B308" s="238">
        <f>8000+2000</f>
        <v>10000</v>
      </c>
      <c r="C308" s="238"/>
      <c r="D308" s="238"/>
      <c r="E308" s="238">
        <f t="shared" si="26"/>
        <v>10000</v>
      </c>
    </row>
    <row r="309" spans="1:5">
      <c r="A309" s="645"/>
      <c r="B309" s="646"/>
      <c r="C309" s="646"/>
      <c r="D309" s="646"/>
      <c r="E309" s="646">
        <f t="shared" si="26"/>
        <v>0</v>
      </c>
    </row>
    <row r="310" spans="1:5">
      <c r="A310" s="639" t="s">
        <v>318</v>
      </c>
      <c r="B310" s="640">
        <f>B312+B318+B327++B335+B341+B353+B364+B374</f>
        <v>2585381</v>
      </c>
      <c r="C310" s="640">
        <f>C312+C318+C327++C335+C341+C353+C364+C374</f>
        <v>44772</v>
      </c>
      <c r="D310" s="640">
        <f>D312+D318+D327++D335+D341+D353+D364+D374+D370</f>
        <v>33123</v>
      </c>
      <c r="E310" s="640">
        <f t="shared" si="26"/>
        <v>2663276</v>
      </c>
    </row>
    <row r="311" spans="1:5">
      <c r="A311" s="641"/>
      <c r="B311" s="642"/>
      <c r="C311" s="642"/>
      <c r="D311" s="642"/>
      <c r="E311" s="642">
        <f t="shared" si="26"/>
        <v>0</v>
      </c>
    </row>
    <row r="312" spans="1:5">
      <c r="A312" s="641" t="s">
        <v>319</v>
      </c>
      <c r="B312" s="642">
        <f>B313</f>
        <v>70402</v>
      </c>
      <c r="C312" s="642">
        <f>C313</f>
        <v>0</v>
      </c>
      <c r="D312" s="642"/>
      <c r="E312" s="642">
        <f t="shared" si="26"/>
        <v>70402</v>
      </c>
    </row>
    <row r="313" spans="1:5">
      <c r="A313" s="641" t="s">
        <v>271</v>
      </c>
      <c r="B313" s="642">
        <f>B314+B315+B316</f>
        <v>70402</v>
      </c>
      <c r="C313" s="642">
        <f>C314+C315+C316</f>
        <v>0</v>
      </c>
      <c r="D313" s="642"/>
      <c r="E313" s="642">
        <f t="shared" si="26"/>
        <v>70402</v>
      </c>
    </row>
    <row r="314" spans="1:5">
      <c r="A314" s="643" t="s">
        <v>272</v>
      </c>
      <c r="B314" s="644">
        <v>59635</v>
      </c>
      <c r="C314" s="644"/>
      <c r="D314" s="644"/>
      <c r="E314" s="644">
        <f t="shared" si="26"/>
        <v>59635</v>
      </c>
    </row>
    <row r="315" spans="1:5">
      <c r="A315" s="643" t="s">
        <v>273</v>
      </c>
      <c r="B315" s="644">
        <v>9857</v>
      </c>
      <c r="C315" s="644"/>
      <c r="D315" s="644"/>
      <c r="E315" s="644">
        <f t="shared" si="26"/>
        <v>9857</v>
      </c>
    </row>
    <row r="316" spans="1:5">
      <c r="A316" s="643" t="s">
        <v>289</v>
      </c>
      <c r="B316" s="644">
        <v>910</v>
      </c>
      <c r="C316" s="644"/>
      <c r="D316" s="644"/>
      <c r="E316" s="644">
        <f t="shared" si="26"/>
        <v>910</v>
      </c>
    </row>
    <row r="317" spans="1:5">
      <c r="A317" s="641"/>
      <c r="B317" s="642"/>
      <c r="C317" s="642"/>
      <c r="D317" s="642"/>
      <c r="E317" s="642">
        <f t="shared" si="26"/>
        <v>0</v>
      </c>
    </row>
    <row r="318" spans="1:5">
      <c r="A318" s="641" t="s">
        <v>321</v>
      </c>
      <c r="B318" s="642">
        <f>B319+B323</f>
        <v>109570</v>
      </c>
      <c r="C318" s="642">
        <f>C319+C323</f>
        <v>0</v>
      </c>
      <c r="D318" s="642"/>
      <c r="E318" s="642">
        <f t="shared" si="26"/>
        <v>109570</v>
      </c>
    </row>
    <row r="319" spans="1:5">
      <c r="A319" s="641" t="s">
        <v>322</v>
      </c>
      <c r="B319" s="642">
        <f>B320+B321+B322</f>
        <v>103500</v>
      </c>
      <c r="C319" s="642">
        <f>C320+C321+C322</f>
        <v>0</v>
      </c>
      <c r="D319" s="642"/>
      <c r="E319" s="642">
        <f t="shared" si="26"/>
        <v>103500</v>
      </c>
    </row>
    <row r="320" spans="1:5">
      <c r="A320" s="645" t="s">
        <v>323</v>
      </c>
      <c r="B320" s="646">
        <v>60000</v>
      </c>
      <c r="C320" s="646"/>
      <c r="D320" s="646"/>
      <c r="E320" s="646">
        <f t="shared" si="26"/>
        <v>60000</v>
      </c>
    </row>
    <row r="321" spans="1:5">
      <c r="A321" s="645" t="s">
        <v>324</v>
      </c>
      <c r="B321" s="646">
        <v>40000</v>
      </c>
      <c r="C321" s="646"/>
      <c r="D321" s="646"/>
      <c r="E321" s="646">
        <f t="shared" si="26"/>
        <v>40000</v>
      </c>
    </row>
    <row r="322" spans="1:5">
      <c r="A322" s="645" t="s">
        <v>325</v>
      </c>
      <c r="B322" s="646">
        <v>3500</v>
      </c>
      <c r="C322" s="646"/>
      <c r="D322" s="646"/>
      <c r="E322" s="646">
        <f t="shared" si="26"/>
        <v>3500</v>
      </c>
    </row>
    <row r="323" spans="1:5">
      <c r="A323" s="658" t="s">
        <v>271</v>
      </c>
      <c r="B323" s="659">
        <f>B324+B325</f>
        <v>6070</v>
      </c>
      <c r="C323" s="659">
        <f>C324+C325</f>
        <v>0</v>
      </c>
      <c r="D323" s="659"/>
      <c r="E323" s="659">
        <f t="shared" si="26"/>
        <v>6070</v>
      </c>
    </row>
    <row r="324" spans="1:5">
      <c r="A324" s="645" t="s">
        <v>273</v>
      </c>
      <c r="B324" s="646">
        <v>4550</v>
      </c>
      <c r="C324" s="646"/>
      <c r="D324" s="646"/>
      <c r="E324" s="646">
        <f t="shared" ref="E324:E387" si="38">SUM(B324:D324)</f>
        <v>4550</v>
      </c>
    </row>
    <row r="325" spans="1:5">
      <c r="A325" s="645" t="s">
        <v>272</v>
      </c>
      <c r="B325" s="646">
        <v>1520</v>
      </c>
      <c r="C325" s="646"/>
      <c r="D325" s="646"/>
      <c r="E325" s="646">
        <f t="shared" si="38"/>
        <v>1520</v>
      </c>
    </row>
    <row r="326" spans="1:5">
      <c r="A326" s="645"/>
      <c r="B326" s="646"/>
      <c r="C326" s="646"/>
      <c r="D326" s="646"/>
      <c r="E326" s="646">
        <f t="shared" si="38"/>
        <v>0</v>
      </c>
    </row>
    <row r="327" spans="1:5">
      <c r="A327" s="658" t="s">
        <v>326</v>
      </c>
      <c r="B327" s="659">
        <f>B328+B331</f>
        <v>262286</v>
      </c>
      <c r="C327" s="659">
        <f>C328+C331</f>
        <v>15396</v>
      </c>
      <c r="D327" s="659"/>
      <c r="E327" s="659">
        <f t="shared" si="38"/>
        <v>277682</v>
      </c>
    </row>
    <row r="328" spans="1:5">
      <c r="A328" s="641" t="s">
        <v>322</v>
      </c>
      <c r="B328" s="642">
        <f>B329+B330</f>
        <v>244170</v>
      </c>
      <c r="C328" s="642">
        <f>C329+C330</f>
        <v>15396</v>
      </c>
      <c r="D328" s="642"/>
      <c r="E328" s="642">
        <f t="shared" si="38"/>
        <v>259566</v>
      </c>
    </row>
    <row r="329" spans="1:5">
      <c r="A329" s="643" t="s">
        <v>323</v>
      </c>
      <c r="B329" s="644">
        <v>240885</v>
      </c>
      <c r="C329" s="644">
        <v>15396</v>
      </c>
      <c r="D329" s="644"/>
      <c r="E329" s="644">
        <f t="shared" si="38"/>
        <v>256281</v>
      </c>
    </row>
    <row r="330" spans="1:5">
      <c r="A330" s="643" t="s">
        <v>324</v>
      </c>
      <c r="B330" s="644">
        <v>3285</v>
      </c>
      <c r="C330" s="644"/>
      <c r="D330" s="644"/>
      <c r="E330" s="644">
        <f t="shared" si="38"/>
        <v>3285</v>
      </c>
    </row>
    <row r="331" spans="1:5">
      <c r="A331" s="658" t="s">
        <v>271</v>
      </c>
      <c r="B331" s="659">
        <f>B332+B333</f>
        <v>18116</v>
      </c>
      <c r="C331" s="659">
        <f>C332+C333</f>
        <v>0</v>
      </c>
      <c r="D331" s="659"/>
      <c r="E331" s="659">
        <f t="shared" si="38"/>
        <v>18116</v>
      </c>
    </row>
    <row r="332" spans="1:5">
      <c r="A332" s="645" t="s">
        <v>273</v>
      </c>
      <c r="B332" s="646">
        <v>14100</v>
      </c>
      <c r="C332" s="646"/>
      <c r="D332" s="646"/>
      <c r="E332" s="646">
        <f t="shared" si="38"/>
        <v>14100</v>
      </c>
    </row>
    <row r="333" spans="1:5">
      <c r="A333" s="645" t="s">
        <v>272</v>
      </c>
      <c r="B333" s="646">
        <v>4016</v>
      </c>
      <c r="C333" s="646"/>
      <c r="D333" s="646"/>
      <c r="E333" s="646">
        <f t="shared" si="38"/>
        <v>4016</v>
      </c>
    </row>
    <row r="334" spans="1:5">
      <c r="A334" s="641"/>
      <c r="B334" s="642"/>
      <c r="C334" s="642"/>
      <c r="D334" s="642"/>
      <c r="E334" s="642">
        <f t="shared" si="38"/>
        <v>0</v>
      </c>
    </row>
    <row r="335" spans="1:5">
      <c r="A335" s="641" t="s">
        <v>663</v>
      </c>
      <c r="B335" s="642">
        <f>B336</f>
        <v>40380</v>
      </c>
      <c r="C335" s="642">
        <f>C336+C338</f>
        <v>7248</v>
      </c>
      <c r="D335" s="642">
        <f>D336+D338</f>
        <v>1513</v>
      </c>
      <c r="E335" s="642">
        <f t="shared" si="38"/>
        <v>49141</v>
      </c>
    </row>
    <row r="336" spans="1:5">
      <c r="A336" s="641" t="s">
        <v>322</v>
      </c>
      <c r="B336" s="642">
        <f>B337</f>
        <v>40380</v>
      </c>
      <c r="C336" s="642">
        <f>C337</f>
        <v>0</v>
      </c>
      <c r="D336" s="642">
        <f>D337</f>
        <v>1513</v>
      </c>
      <c r="E336" s="642">
        <f t="shared" si="38"/>
        <v>41893</v>
      </c>
    </row>
    <row r="337" spans="1:5">
      <c r="A337" s="645" t="s">
        <v>329</v>
      </c>
      <c r="B337" s="646">
        <v>40380</v>
      </c>
      <c r="C337" s="646"/>
      <c r="D337" s="646">
        <v>1513</v>
      </c>
      <c r="E337" s="646">
        <f t="shared" si="38"/>
        <v>41893</v>
      </c>
    </row>
    <row r="338" spans="1:5">
      <c r="A338" s="669" t="s">
        <v>275</v>
      </c>
      <c r="B338" s="646"/>
      <c r="C338" s="646">
        <f>C339</f>
        <v>7248</v>
      </c>
      <c r="D338" s="646"/>
      <c r="E338" s="646">
        <f t="shared" si="38"/>
        <v>7248</v>
      </c>
    </row>
    <row r="339" spans="1:5">
      <c r="A339" s="645" t="s">
        <v>277</v>
      </c>
      <c r="B339" s="646"/>
      <c r="C339" s="646">
        <v>7248</v>
      </c>
      <c r="D339" s="646"/>
      <c r="E339" s="646">
        <f t="shared" si="38"/>
        <v>7248</v>
      </c>
    </row>
    <row r="340" spans="1:5">
      <c r="A340" s="641"/>
      <c r="B340" s="642"/>
      <c r="C340" s="642"/>
      <c r="D340" s="642"/>
      <c r="E340" s="642">
        <f t="shared" si="38"/>
        <v>0</v>
      </c>
    </row>
    <row r="341" spans="1:5">
      <c r="A341" s="641" t="s">
        <v>327</v>
      </c>
      <c r="B341" s="642">
        <f>B342+B345</f>
        <v>1667581</v>
      </c>
      <c r="C341" s="642">
        <f>C342+C345+C348</f>
        <v>500</v>
      </c>
      <c r="D341" s="642">
        <f>D342+D345+D348+D350</f>
        <v>18200</v>
      </c>
      <c r="E341" s="642">
        <f t="shared" si="38"/>
        <v>1686281</v>
      </c>
    </row>
    <row r="342" spans="1:5">
      <c r="A342" s="641" t="s">
        <v>271</v>
      </c>
      <c r="B342" s="642">
        <f>B343+B344</f>
        <v>6050</v>
      </c>
      <c r="C342" s="642">
        <f>C343+C344</f>
        <v>100</v>
      </c>
      <c r="D342" s="642">
        <f>D343+D344</f>
        <v>0</v>
      </c>
      <c r="E342" s="642">
        <f t="shared" si="38"/>
        <v>6150</v>
      </c>
    </row>
    <row r="343" spans="1:5">
      <c r="A343" s="643" t="s">
        <v>272</v>
      </c>
      <c r="B343" s="644">
        <v>4150</v>
      </c>
      <c r="C343" s="644"/>
      <c r="D343" s="644"/>
      <c r="E343" s="644">
        <f t="shared" si="38"/>
        <v>4150</v>
      </c>
    </row>
    <row r="344" spans="1:5">
      <c r="A344" s="643" t="s">
        <v>273</v>
      </c>
      <c r="B344" s="644">
        <v>1900</v>
      </c>
      <c r="C344" s="644">
        <v>100</v>
      </c>
      <c r="D344" s="644"/>
      <c r="E344" s="644">
        <f t="shared" si="38"/>
        <v>2000</v>
      </c>
    </row>
    <row r="345" spans="1:5">
      <c r="A345" s="641" t="s">
        <v>322</v>
      </c>
      <c r="B345" s="642">
        <f>B346+B347</f>
        <v>1661531</v>
      </c>
      <c r="C345" s="642">
        <f t="shared" ref="C345:D345" si="39">C346+C347</f>
        <v>0</v>
      </c>
      <c r="D345" s="642">
        <f t="shared" si="39"/>
        <v>18000</v>
      </c>
      <c r="E345" s="642">
        <f t="shared" si="38"/>
        <v>1679531</v>
      </c>
    </row>
    <row r="346" spans="1:5">
      <c r="A346" s="645" t="s">
        <v>323</v>
      </c>
      <c r="B346" s="646">
        <v>1633531</v>
      </c>
      <c r="C346" s="646"/>
      <c r="D346" s="646">
        <v>13000</v>
      </c>
      <c r="E346" s="646">
        <f t="shared" si="38"/>
        <v>1646531</v>
      </c>
    </row>
    <row r="347" spans="1:5">
      <c r="A347" s="645" t="s">
        <v>324</v>
      </c>
      <c r="B347" s="646">
        <v>28000</v>
      </c>
      <c r="C347" s="646"/>
      <c r="D347" s="646">
        <v>5000</v>
      </c>
      <c r="E347" s="646">
        <f t="shared" si="38"/>
        <v>33000</v>
      </c>
    </row>
    <row r="348" spans="1:5">
      <c r="A348" s="669" t="s">
        <v>275</v>
      </c>
      <c r="B348" s="646"/>
      <c r="C348" s="646">
        <f>C349</f>
        <v>400</v>
      </c>
      <c r="D348" s="646">
        <f>D349</f>
        <v>175</v>
      </c>
      <c r="E348" s="646">
        <f t="shared" si="38"/>
        <v>575</v>
      </c>
    </row>
    <row r="349" spans="1:5">
      <c r="A349" s="645" t="s">
        <v>277</v>
      </c>
      <c r="B349" s="646"/>
      <c r="C349" s="646">
        <v>400</v>
      </c>
      <c r="D349" s="646">
        <v>175</v>
      </c>
      <c r="E349" s="646">
        <f t="shared" si="38"/>
        <v>575</v>
      </c>
    </row>
    <row r="350" spans="1:5">
      <c r="A350" s="204" t="s">
        <v>320</v>
      </c>
      <c r="B350" s="646"/>
      <c r="C350" s="646"/>
      <c r="D350" s="670">
        <f>D351</f>
        <v>25</v>
      </c>
      <c r="E350" s="670">
        <f t="shared" si="38"/>
        <v>25</v>
      </c>
    </row>
    <row r="351" spans="1:5">
      <c r="A351" s="197" t="s">
        <v>1104</v>
      </c>
      <c r="B351" s="646"/>
      <c r="C351" s="646"/>
      <c r="D351" s="646">
        <v>25</v>
      </c>
      <c r="E351" s="646">
        <f t="shared" si="38"/>
        <v>25</v>
      </c>
    </row>
    <row r="352" spans="1:5">
      <c r="A352" s="641"/>
      <c r="B352" s="642"/>
      <c r="C352" s="642"/>
      <c r="D352" s="642"/>
      <c r="E352" s="642">
        <f t="shared" si="38"/>
        <v>0</v>
      </c>
    </row>
    <row r="353" spans="1:5">
      <c r="A353" s="641" t="s">
        <v>328</v>
      </c>
      <c r="B353" s="642">
        <f>B354+B358+B360</f>
        <v>106092</v>
      </c>
      <c r="C353" s="642">
        <f>C354+C358+C360</f>
        <v>0</v>
      </c>
      <c r="D353" s="642"/>
      <c r="E353" s="642">
        <f t="shared" si="38"/>
        <v>106092</v>
      </c>
    </row>
    <row r="354" spans="1:5">
      <c r="A354" s="641" t="s">
        <v>322</v>
      </c>
      <c r="B354" s="642">
        <f>B355+B356+B357</f>
        <v>77310</v>
      </c>
      <c r="C354" s="642">
        <f>C355+C356+C357</f>
        <v>0</v>
      </c>
      <c r="D354" s="642"/>
      <c r="E354" s="642">
        <f t="shared" si="38"/>
        <v>77310</v>
      </c>
    </row>
    <row r="355" spans="1:5">
      <c r="A355" s="645" t="s">
        <v>323</v>
      </c>
      <c r="B355" s="646">
        <v>12830</v>
      </c>
      <c r="C355" s="646"/>
      <c r="D355" s="646"/>
      <c r="E355" s="646">
        <f t="shared" si="38"/>
        <v>12830</v>
      </c>
    </row>
    <row r="356" spans="1:5">
      <c r="A356" s="645" t="s">
        <v>324</v>
      </c>
      <c r="B356" s="646">
        <v>58000</v>
      </c>
      <c r="C356" s="646"/>
      <c r="D356" s="646"/>
      <c r="E356" s="646">
        <f t="shared" si="38"/>
        <v>58000</v>
      </c>
    </row>
    <row r="357" spans="1:5">
      <c r="A357" s="645" t="s">
        <v>329</v>
      </c>
      <c r="B357" s="646">
        <v>6480</v>
      </c>
      <c r="C357" s="646"/>
      <c r="D357" s="646"/>
      <c r="E357" s="646">
        <f t="shared" si="38"/>
        <v>6480</v>
      </c>
    </row>
    <row r="358" spans="1:5">
      <c r="A358" s="669" t="s">
        <v>275</v>
      </c>
      <c r="B358" s="662">
        <f>B359</f>
        <v>11500</v>
      </c>
      <c r="C358" s="662">
        <f>C359</f>
        <v>0</v>
      </c>
      <c r="D358" s="662"/>
      <c r="E358" s="662">
        <f t="shared" si="38"/>
        <v>11500</v>
      </c>
    </row>
    <row r="359" spans="1:5">
      <c r="A359" s="645" t="s">
        <v>277</v>
      </c>
      <c r="B359" s="646">
        <v>11500</v>
      </c>
      <c r="C359" s="646"/>
      <c r="D359" s="646"/>
      <c r="E359" s="646">
        <f t="shared" si="38"/>
        <v>11500</v>
      </c>
    </row>
    <row r="360" spans="1:5">
      <c r="A360" s="641" t="s">
        <v>271</v>
      </c>
      <c r="B360" s="642">
        <f>B361+B362</f>
        <v>17282</v>
      </c>
      <c r="C360" s="642">
        <f>C361+C362</f>
        <v>0</v>
      </c>
      <c r="D360" s="642"/>
      <c r="E360" s="642">
        <f t="shared" si="38"/>
        <v>17282</v>
      </c>
    </row>
    <row r="361" spans="1:5">
      <c r="A361" s="643" t="s">
        <v>272</v>
      </c>
      <c r="B361" s="644">
        <v>8782</v>
      </c>
      <c r="C361" s="644"/>
      <c r="D361" s="644"/>
      <c r="E361" s="644">
        <f t="shared" si="38"/>
        <v>8782</v>
      </c>
    </row>
    <row r="362" spans="1:5">
      <c r="A362" s="643" t="s">
        <v>273</v>
      </c>
      <c r="B362" s="644">
        <v>8500</v>
      </c>
      <c r="C362" s="644"/>
      <c r="D362" s="644"/>
      <c r="E362" s="644">
        <f t="shared" si="38"/>
        <v>8500</v>
      </c>
    </row>
    <row r="363" spans="1:5">
      <c r="A363" s="645"/>
      <c r="B363" s="646"/>
      <c r="C363" s="646"/>
      <c r="D363" s="646"/>
      <c r="E363" s="646">
        <f t="shared" si="38"/>
        <v>0</v>
      </c>
    </row>
    <row r="364" spans="1:5">
      <c r="A364" s="641" t="s">
        <v>330</v>
      </c>
      <c r="B364" s="642">
        <f>B365</f>
        <v>93710</v>
      </c>
      <c r="C364" s="642">
        <f t="shared" ref="C364:D364" si="40">C365</f>
        <v>0</v>
      </c>
      <c r="D364" s="642">
        <f t="shared" si="40"/>
        <v>6000</v>
      </c>
      <c r="E364" s="642">
        <f t="shared" si="38"/>
        <v>99710</v>
      </c>
    </row>
    <row r="365" spans="1:5">
      <c r="A365" s="641" t="s">
        <v>322</v>
      </c>
      <c r="B365" s="642">
        <f>B366+B367+B368</f>
        <v>93710</v>
      </c>
      <c r="C365" s="642">
        <f t="shared" ref="C365:D365" si="41">C366+C367+C368</f>
        <v>0</v>
      </c>
      <c r="D365" s="642">
        <f t="shared" si="41"/>
        <v>6000</v>
      </c>
      <c r="E365" s="642">
        <f t="shared" si="38"/>
        <v>99710</v>
      </c>
    </row>
    <row r="366" spans="1:5">
      <c r="A366" s="645" t="s">
        <v>280</v>
      </c>
      <c r="B366" s="646">
        <v>230</v>
      </c>
      <c r="C366" s="646"/>
      <c r="D366" s="646"/>
      <c r="E366" s="646">
        <f t="shared" si="38"/>
        <v>230</v>
      </c>
    </row>
    <row r="367" spans="1:5">
      <c r="A367" s="645" t="s">
        <v>323</v>
      </c>
      <c r="B367" s="646">
        <v>85480</v>
      </c>
      <c r="C367" s="646"/>
      <c r="D367" s="646">
        <v>6000</v>
      </c>
      <c r="E367" s="646">
        <f t="shared" si="38"/>
        <v>91480</v>
      </c>
    </row>
    <row r="368" spans="1:5">
      <c r="A368" s="645" t="s">
        <v>331</v>
      </c>
      <c r="B368" s="646">
        <v>8000</v>
      </c>
      <c r="C368" s="646"/>
      <c r="D368" s="646"/>
      <c r="E368" s="646">
        <f t="shared" si="38"/>
        <v>8000</v>
      </c>
    </row>
    <row r="369" spans="1:5">
      <c r="A369" s="645"/>
      <c r="B369" s="646"/>
      <c r="C369" s="646"/>
      <c r="D369" s="646"/>
      <c r="E369" s="646">
        <f t="shared" si="38"/>
        <v>0</v>
      </c>
    </row>
    <row r="370" spans="1:5">
      <c r="A370" s="204" t="s">
        <v>1105</v>
      </c>
      <c r="B370" s="646"/>
      <c r="C370" s="646"/>
      <c r="D370" s="670">
        <f>D371</f>
        <v>7410</v>
      </c>
      <c r="E370" s="670">
        <f t="shared" si="38"/>
        <v>7410</v>
      </c>
    </row>
    <row r="371" spans="1:5">
      <c r="A371" s="198" t="s">
        <v>322</v>
      </c>
      <c r="B371" s="646"/>
      <c r="C371" s="646"/>
      <c r="D371" s="670">
        <f>D372</f>
        <v>7410</v>
      </c>
      <c r="E371" s="670">
        <f t="shared" si="38"/>
        <v>7410</v>
      </c>
    </row>
    <row r="372" spans="1:5">
      <c r="A372" s="196" t="s">
        <v>323</v>
      </c>
      <c r="B372" s="646"/>
      <c r="C372" s="646"/>
      <c r="D372" s="646">
        <v>7410</v>
      </c>
      <c r="E372" s="646">
        <f t="shared" si="38"/>
        <v>7410</v>
      </c>
    </row>
    <row r="373" spans="1:5">
      <c r="A373" s="645"/>
      <c r="B373" s="646"/>
      <c r="C373" s="646"/>
      <c r="D373" s="646"/>
      <c r="E373" s="646">
        <f t="shared" si="38"/>
        <v>0</v>
      </c>
    </row>
    <row r="374" spans="1:5">
      <c r="A374" s="641" t="s">
        <v>1106</v>
      </c>
      <c r="B374" s="642">
        <f>B375+B377</f>
        <v>235360</v>
      </c>
      <c r="C374" s="642">
        <f>C375+C377</f>
        <v>21628</v>
      </c>
      <c r="D374" s="642">
        <f>D375+D377</f>
        <v>0</v>
      </c>
      <c r="E374" s="642">
        <f t="shared" si="38"/>
        <v>256988</v>
      </c>
    </row>
    <row r="375" spans="1:5">
      <c r="A375" s="641" t="s">
        <v>332</v>
      </c>
      <c r="B375" s="642">
        <f>B376</f>
        <v>224660</v>
      </c>
      <c r="C375" s="642">
        <f>C376</f>
        <v>30150</v>
      </c>
      <c r="D375" s="642">
        <f>D376</f>
        <v>1525</v>
      </c>
      <c r="E375" s="642">
        <f t="shared" si="38"/>
        <v>256335</v>
      </c>
    </row>
    <row r="376" spans="1:5">
      <c r="A376" s="645" t="s">
        <v>280</v>
      </c>
      <c r="B376" s="646">
        <v>224660</v>
      </c>
      <c r="C376" s="646">
        <v>30150</v>
      </c>
      <c r="D376" s="646">
        <v>1525</v>
      </c>
      <c r="E376" s="646">
        <f t="shared" si="38"/>
        <v>256335</v>
      </c>
    </row>
    <row r="377" spans="1:5">
      <c r="A377" s="658" t="s">
        <v>271</v>
      </c>
      <c r="B377" s="659">
        <f>B378+B379</f>
        <v>10700</v>
      </c>
      <c r="C377" s="659">
        <f>C378+C379</f>
        <v>-8522</v>
      </c>
      <c r="D377" s="659">
        <f>D378+D379</f>
        <v>-1525</v>
      </c>
      <c r="E377" s="659">
        <f t="shared" si="38"/>
        <v>653</v>
      </c>
    </row>
    <row r="378" spans="1:5">
      <c r="A378" s="645" t="s">
        <v>272</v>
      </c>
      <c r="B378" s="646">
        <v>957</v>
      </c>
      <c r="C378" s="646">
        <v>-918</v>
      </c>
      <c r="D378" s="646"/>
      <c r="E378" s="646">
        <f t="shared" si="38"/>
        <v>39</v>
      </c>
    </row>
    <row r="379" spans="1:5">
      <c r="A379" s="643" t="s">
        <v>273</v>
      </c>
      <c r="B379" s="644">
        <v>9743</v>
      </c>
      <c r="C379" s="644">
        <v>-7604</v>
      </c>
      <c r="D379" s="644">
        <v>-1525</v>
      </c>
      <c r="E379" s="644">
        <f t="shared" si="38"/>
        <v>614</v>
      </c>
    </row>
    <row r="380" spans="1:5">
      <c r="A380" s="643"/>
      <c r="B380" s="644"/>
      <c r="C380" s="644"/>
      <c r="D380" s="644"/>
      <c r="E380" s="644">
        <f t="shared" si="38"/>
        <v>0</v>
      </c>
    </row>
    <row r="381" spans="1:5">
      <c r="A381" s="639" t="s">
        <v>333</v>
      </c>
      <c r="B381" s="640">
        <f>B382+B387+B390</f>
        <v>3180590</v>
      </c>
      <c r="C381" s="640">
        <f>C382+C387+C390</f>
        <v>32000</v>
      </c>
      <c r="D381" s="640">
        <f>D382+D387+D390</f>
        <v>6234</v>
      </c>
      <c r="E381" s="640">
        <f t="shared" si="38"/>
        <v>3218824</v>
      </c>
    </row>
    <row r="382" spans="1:5">
      <c r="A382" s="641" t="s">
        <v>316</v>
      </c>
      <c r="B382" s="642">
        <f>B383+B384+B385+B386</f>
        <v>3039000</v>
      </c>
      <c r="C382" s="642">
        <f>C383+C384+C385+C386</f>
        <v>32000</v>
      </c>
      <c r="D382" s="642">
        <f>D383+D384+D385+D386</f>
        <v>0</v>
      </c>
      <c r="E382" s="642">
        <f t="shared" si="38"/>
        <v>3071000</v>
      </c>
    </row>
    <row r="383" spans="1:5">
      <c r="A383" s="643" t="s">
        <v>317</v>
      </c>
      <c r="B383" s="644">
        <v>1200000</v>
      </c>
      <c r="C383" s="644">
        <v>32000</v>
      </c>
      <c r="D383" s="644"/>
      <c r="E383" s="644">
        <f t="shared" si="38"/>
        <v>1232000</v>
      </c>
    </row>
    <row r="384" spans="1:5">
      <c r="A384" s="643" t="s">
        <v>273</v>
      </c>
      <c r="B384" s="644">
        <v>1600000</v>
      </c>
      <c r="C384" s="644"/>
      <c r="D384" s="644"/>
      <c r="E384" s="644">
        <f t="shared" si="38"/>
        <v>1600000</v>
      </c>
    </row>
    <row r="385" spans="1:5">
      <c r="A385" s="643" t="s">
        <v>334</v>
      </c>
      <c r="B385" s="644">
        <v>215000</v>
      </c>
      <c r="C385" s="644"/>
      <c r="D385" s="644"/>
      <c r="E385" s="644">
        <f t="shared" si="38"/>
        <v>215000</v>
      </c>
    </row>
    <row r="386" spans="1:5">
      <c r="A386" s="643" t="s">
        <v>335</v>
      </c>
      <c r="B386" s="644">
        <v>24000</v>
      </c>
      <c r="C386" s="644"/>
      <c r="D386" s="644"/>
      <c r="E386" s="644">
        <f t="shared" si="38"/>
        <v>24000</v>
      </c>
    </row>
    <row r="387" spans="1:5">
      <c r="A387" s="641" t="s">
        <v>271</v>
      </c>
      <c r="B387" s="642">
        <f>B388+B389</f>
        <v>139530</v>
      </c>
      <c r="C387" s="642"/>
      <c r="D387" s="651">
        <f>D388</f>
        <v>6234</v>
      </c>
      <c r="E387" s="642">
        <f t="shared" si="38"/>
        <v>145764</v>
      </c>
    </row>
    <row r="388" spans="1:5">
      <c r="A388" s="643" t="s">
        <v>272</v>
      </c>
      <c r="B388" s="644">
        <v>105330</v>
      </c>
      <c r="C388" s="644"/>
      <c r="D388" s="657">
        <v>6234</v>
      </c>
      <c r="E388" s="644">
        <f t="shared" ref="E388:E451" si="42">SUM(B388:D388)</f>
        <v>111564</v>
      </c>
    </row>
    <row r="389" spans="1:5">
      <c r="A389" s="643" t="s">
        <v>273</v>
      </c>
      <c r="B389" s="644">
        <v>34200</v>
      </c>
      <c r="C389" s="644"/>
      <c r="D389" s="644"/>
      <c r="E389" s="644">
        <f t="shared" si="42"/>
        <v>34200</v>
      </c>
    </row>
    <row r="390" spans="1:5">
      <c r="A390" s="664" t="s">
        <v>279</v>
      </c>
      <c r="B390" s="662">
        <f>B391</f>
        <v>2060</v>
      </c>
      <c r="C390" s="662"/>
      <c r="D390" s="662"/>
      <c r="E390" s="662">
        <f t="shared" si="42"/>
        <v>2060</v>
      </c>
    </row>
    <row r="391" spans="1:5">
      <c r="A391" s="643" t="s">
        <v>280</v>
      </c>
      <c r="B391" s="644">
        <v>2060</v>
      </c>
      <c r="C391" s="644"/>
      <c r="D391" s="644"/>
      <c r="E391" s="644">
        <f t="shared" si="42"/>
        <v>2060</v>
      </c>
    </row>
    <row r="392" spans="1:5">
      <c r="A392" s="643"/>
      <c r="B392" s="644"/>
      <c r="C392" s="644"/>
      <c r="D392" s="644"/>
      <c r="E392" s="644">
        <f t="shared" si="42"/>
        <v>0</v>
      </c>
    </row>
    <row r="393" spans="1:5">
      <c r="A393" s="639" t="s">
        <v>383</v>
      </c>
      <c r="B393" s="640">
        <f>B395+B401</f>
        <v>817115</v>
      </c>
      <c r="C393" s="640">
        <f t="shared" ref="C393:D393" si="43">C395+C401</f>
        <v>0</v>
      </c>
      <c r="D393" s="640">
        <f t="shared" si="43"/>
        <v>136195</v>
      </c>
      <c r="E393" s="640">
        <f t="shared" si="42"/>
        <v>953310</v>
      </c>
    </row>
    <row r="394" spans="1:5">
      <c r="A394" s="639"/>
      <c r="B394" s="640"/>
      <c r="C394" s="640"/>
      <c r="D394" s="640"/>
      <c r="E394" s="640">
        <f t="shared" si="42"/>
        <v>0</v>
      </c>
    </row>
    <row r="395" spans="1:5">
      <c r="A395" s="641" t="s">
        <v>336</v>
      </c>
      <c r="B395" s="642">
        <f>B396</f>
        <v>462815</v>
      </c>
      <c r="C395" s="642">
        <f t="shared" ref="C395:D395" si="44">C396</f>
        <v>0</v>
      </c>
      <c r="D395" s="642">
        <f t="shared" si="44"/>
        <v>91780</v>
      </c>
      <c r="E395" s="642">
        <f t="shared" si="42"/>
        <v>554595</v>
      </c>
    </row>
    <row r="396" spans="1:5">
      <c r="A396" s="641" t="s">
        <v>275</v>
      </c>
      <c r="B396" s="642">
        <f>B397+B398+B399</f>
        <v>462815</v>
      </c>
      <c r="C396" s="642">
        <f t="shared" ref="C396:D396" si="45">C397+C398+C399</f>
        <v>0</v>
      </c>
      <c r="D396" s="642">
        <f t="shared" si="45"/>
        <v>91780</v>
      </c>
      <c r="E396" s="642">
        <f t="shared" si="42"/>
        <v>554595</v>
      </c>
    </row>
    <row r="397" spans="1:5">
      <c r="A397" s="643" t="s">
        <v>304</v>
      </c>
      <c r="B397" s="644">
        <v>237290</v>
      </c>
      <c r="C397" s="644"/>
      <c r="D397" s="644">
        <v>90000</v>
      </c>
      <c r="E397" s="644">
        <f t="shared" si="42"/>
        <v>327290</v>
      </c>
    </row>
    <row r="398" spans="1:5">
      <c r="A398" s="643" t="s">
        <v>280</v>
      </c>
      <c r="B398" s="644">
        <v>56500</v>
      </c>
      <c r="C398" s="644"/>
      <c r="D398" s="644">
        <v>1780</v>
      </c>
      <c r="E398" s="644">
        <f t="shared" si="42"/>
        <v>58280</v>
      </c>
    </row>
    <row r="399" spans="1:5">
      <c r="A399" s="643" t="s">
        <v>6</v>
      </c>
      <c r="B399" s="644">
        <v>169025</v>
      </c>
      <c r="C399" s="644"/>
      <c r="D399" s="644"/>
      <c r="E399" s="644">
        <f t="shared" si="42"/>
        <v>169025</v>
      </c>
    </row>
    <row r="400" spans="1:5">
      <c r="A400" s="643"/>
      <c r="B400" s="644"/>
      <c r="C400" s="644"/>
      <c r="D400" s="644"/>
      <c r="E400" s="644">
        <f t="shared" si="42"/>
        <v>0</v>
      </c>
    </row>
    <row r="401" spans="1:5">
      <c r="A401" s="658" t="s">
        <v>338</v>
      </c>
      <c r="B401" s="659">
        <f>B402+B405+B407</f>
        <v>354300</v>
      </c>
      <c r="C401" s="659">
        <f t="shared" ref="C401:D401" si="46">C402+C405+C407</f>
        <v>0</v>
      </c>
      <c r="D401" s="659">
        <f t="shared" si="46"/>
        <v>44415</v>
      </c>
      <c r="E401" s="659">
        <f t="shared" si="42"/>
        <v>398715</v>
      </c>
    </row>
    <row r="402" spans="1:5">
      <c r="A402" s="641" t="s">
        <v>271</v>
      </c>
      <c r="B402" s="642">
        <f>B403+B404</f>
        <v>185900</v>
      </c>
      <c r="C402" s="642">
        <f t="shared" ref="C402:D402" si="47">C403+C404</f>
        <v>0</v>
      </c>
      <c r="D402" s="642">
        <f t="shared" si="47"/>
        <v>0</v>
      </c>
      <c r="E402" s="642">
        <f t="shared" si="42"/>
        <v>185900</v>
      </c>
    </row>
    <row r="403" spans="1:5">
      <c r="A403" s="643" t="s">
        <v>272</v>
      </c>
      <c r="B403" s="644">
        <v>117900</v>
      </c>
      <c r="C403" s="644"/>
      <c r="D403" s="644"/>
      <c r="E403" s="644">
        <f t="shared" si="42"/>
        <v>117900</v>
      </c>
    </row>
    <row r="404" spans="1:5">
      <c r="A404" s="643" t="s">
        <v>273</v>
      </c>
      <c r="B404" s="644">
        <v>68000</v>
      </c>
      <c r="C404" s="644"/>
      <c r="D404" s="644"/>
      <c r="E404" s="644">
        <f t="shared" si="42"/>
        <v>68000</v>
      </c>
    </row>
    <row r="405" spans="1:5">
      <c r="A405" s="658" t="s">
        <v>311</v>
      </c>
      <c r="B405" s="659">
        <f>B406</f>
        <v>398400</v>
      </c>
      <c r="C405" s="659">
        <f t="shared" ref="C405:D405" si="48">C406</f>
        <v>0</v>
      </c>
      <c r="D405" s="659">
        <f t="shared" si="48"/>
        <v>44415</v>
      </c>
      <c r="E405" s="659">
        <f t="shared" si="42"/>
        <v>442815</v>
      </c>
    </row>
    <row r="406" spans="1:5">
      <c r="A406" s="645" t="s">
        <v>339</v>
      </c>
      <c r="B406" s="646">
        <v>398400</v>
      </c>
      <c r="C406" s="646"/>
      <c r="D406" s="646">
        <v>44415</v>
      </c>
      <c r="E406" s="646">
        <f t="shared" si="42"/>
        <v>442815</v>
      </c>
    </row>
    <row r="407" spans="1:5">
      <c r="A407" s="669" t="s">
        <v>532</v>
      </c>
      <c r="B407" s="662">
        <f>B408</f>
        <v>-230000</v>
      </c>
      <c r="C407" s="662"/>
      <c r="D407" s="662"/>
      <c r="E407" s="662">
        <f t="shared" si="42"/>
        <v>-230000</v>
      </c>
    </row>
    <row r="408" spans="1:5">
      <c r="A408" s="645" t="s">
        <v>508</v>
      </c>
      <c r="B408" s="646">
        <v>-230000</v>
      </c>
      <c r="C408" s="646"/>
      <c r="D408" s="646"/>
      <c r="E408" s="646">
        <f t="shared" si="42"/>
        <v>-230000</v>
      </c>
    </row>
    <row r="409" spans="1:5">
      <c r="A409" s="643"/>
      <c r="B409" s="644"/>
      <c r="C409" s="644"/>
      <c r="D409" s="644"/>
      <c r="E409" s="644">
        <f t="shared" si="42"/>
        <v>0</v>
      </c>
    </row>
    <row r="410" spans="1:5">
      <c r="A410" s="639" t="s">
        <v>340</v>
      </c>
      <c r="B410" s="640">
        <f>SUM(B411,B415,B417)</f>
        <v>1267705</v>
      </c>
      <c r="C410" s="640">
        <f>SUM(C411,C415,C417)</f>
        <v>-8053</v>
      </c>
      <c r="D410" s="640">
        <f>SUM(D411,D415,D417)</f>
        <v>-5500</v>
      </c>
      <c r="E410" s="640">
        <f t="shared" si="42"/>
        <v>1254152</v>
      </c>
    </row>
    <row r="411" spans="1:5">
      <c r="A411" s="641" t="s">
        <v>341</v>
      </c>
      <c r="B411" s="642">
        <f>SUM(B412:B414)</f>
        <v>1208900</v>
      </c>
      <c r="C411" s="642">
        <f>SUM(C412:C414)</f>
        <v>0</v>
      </c>
      <c r="D411" s="642">
        <f>SUM(D412:D414)</f>
        <v>0</v>
      </c>
      <c r="E411" s="642">
        <f t="shared" si="42"/>
        <v>1208900</v>
      </c>
    </row>
    <row r="412" spans="1:5">
      <c r="A412" s="645" t="s">
        <v>509</v>
      </c>
      <c r="B412" s="646">
        <v>1180000</v>
      </c>
      <c r="C412" s="646"/>
      <c r="D412" s="646"/>
      <c r="E412" s="646">
        <f t="shared" si="42"/>
        <v>1180000</v>
      </c>
    </row>
    <row r="413" spans="1:5">
      <c r="A413" s="645" t="s">
        <v>342</v>
      </c>
      <c r="B413" s="646">
        <v>13900</v>
      </c>
      <c r="C413" s="646"/>
      <c r="D413" s="646"/>
      <c r="E413" s="646">
        <f t="shared" si="42"/>
        <v>13900</v>
      </c>
    </row>
    <row r="414" spans="1:5">
      <c r="A414" s="645" t="s">
        <v>343</v>
      </c>
      <c r="B414" s="646">
        <v>15000</v>
      </c>
      <c r="C414" s="646"/>
      <c r="D414" s="646"/>
      <c r="E414" s="646">
        <f t="shared" si="42"/>
        <v>15000</v>
      </c>
    </row>
    <row r="415" spans="1:5">
      <c r="A415" s="641" t="s">
        <v>271</v>
      </c>
      <c r="B415" s="642">
        <f>SUM(B416:B416)</f>
        <v>43805</v>
      </c>
      <c r="C415" s="642">
        <f>SUM(C416:C416)</f>
        <v>-8053</v>
      </c>
      <c r="D415" s="642"/>
      <c r="E415" s="642">
        <f t="shared" si="42"/>
        <v>35752</v>
      </c>
    </row>
    <row r="416" spans="1:5">
      <c r="A416" s="643" t="s">
        <v>288</v>
      </c>
      <c r="B416" s="644">
        <v>43805</v>
      </c>
      <c r="C416" s="644">
        <v>-8053</v>
      </c>
      <c r="D416" s="644"/>
      <c r="E416" s="644">
        <f t="shared" si="42"/>
        <v>35752</v>
      </c>
    </row>
    <row r="417" spans="1:5">
      <c r="A417" s="669" t="s">
        <v>275</v>
      </c>
      <c r="B417" s="662">
        <f>SUM(B418)</f>
        <v>15000</v>
      </c>
      <c r="C417" s="662"/>
      <c r="D417" s="671">
        <f>SUM(D418)</f>
        <v>-5500</v>
      </c>
      <c r="E417" s="662">
        <f t="shared" si="42"/>
        <v>9500</v>
      </c>
    </row>
    <row r="418" spans="1:5">
      <c r="A418" s="645" t="s">
        <v>277</v>
      </c>
      <c r="B418" s="646">
        <v>15000</v>
      </c>
      <c r="C418" s="646"/>
      <c r="D418" s="652">
        <v>-5500</v>
      </c>
      <c r="E418" s="646">
        <f t="shared" si="42"/>
        <v>9500</v>
      </c>
    </row>
    <row r="419" spans="1:5">
      <c r="A419" s="641"/>
      <c r="B419" s="642"/>
      <c r="C419" s="642"/>
      <c r="D419" s="642"/>
      <c r="E419" s="642">
        <f t="shared" si="42"/>
        <v>0</v>
      </c>
    </row>
    <row r="420" spans="1:5">
      <c r="A420" s="639" t="s">
        <v>344</v>
      </c>
      <c r="B420" s="640">
        <f>B422+B434</f>
        <v>753524</v>
      </c>
      <c r="C420" s="640"/>
      <c r="D420" s="640">
        <f>D422+D434</f>
        <v>40000</v>
      </c>
      <c r="E420" s="640">
        <f t="shared" si="42"/>
        <v>793524</v>
      </c>
    </row>
    <row r="421" spans="1:5">
      <c r="A421" s="641"/>
      <c r="B421" s="642"/>
      <c r="C421" s="642"/>
      <c r="D421" s="642"/>
      <c r="E421" s="642">
        <f t="shared" si="42"/>
        <v>0</v>
      </c>
    </row>
    <row r="422" spans="1:5">
      <c r="A422" s="641" t="s">
        <v>345</v>
      </c>
      <c r="B422" s="642">
        <f>B423+B425+B429+B431</f>
        <v>605103</v>
      </c>
      <c r="C422" s="642"/>
      <c r="D422" s="642"/>
      <c r="E422" s="642">
        <f t="shared" si="42"/>
        <v>605103</v>
      </c>
    </row>
    <row r="423" spans="1:5">
      <c r="A423" s="641" t="s">
        <v>311</v>
      </c>
      <c r="B423" s="642">
        <f>SUM(B424)</f>
        <v>180000</v>
      </c>
      <c r="C423" s="642"/>
      <c r="D423" s="642"/>
      <c r="E423" s="642">
        <f t="shared" si="42"/>
        <v>180000</v>
      </c>
    </row>
    <row r="424" spans="1:5">
      <c r="A424" s="643" t="s">
        <v>346</v>
      </c>
      <c r="B424" s="644">
        <v>180000</v>
      </c>
      <c r="C424" s="644"/>
      <c r="D424" s="644"/>
      <c r="E424" s="644">
        <f t="shared" si="42"/>
        <v>180000</v>
      </c>
    </row>
    <row r="425" spans="1:5">
      <c r="A425" s="641" t="s">
        <v>271</v>
      </c>
      <c r="B425" s="642">
        <f>B426+B427+B428</f>
        <v>242653</v>
      </c>
      <c r="C425" s="642"/>
      <c r="D425" s="642"/>
      <c r="E425" s="642">
        <f t="shared" si="42"/>
        <v>242653</v>
      </c>
    </row>
    <row r="426" spans="1:5">
      <c r="A426" s="643" t="s">
        <v>272</v>
      </c>
      <c r="B426" s="644">
        <v>240815</v>
      </c>
      <c r="C426" s="644"/>
      <c r="D426" s="644"/>
      <c r="E426" s="644">
        <f t="shared" si="42"/>
        <v>240815</v>
      </c>
    </row>
    <row r="427" spans="1:5">
      <c r="A427" s="643" t="s">
        <v>273</v>
      </c>
      <c r="B427" s="644">
        <v>400</v>
      </c>
      <c r="C427" s="644"/>
      <c r="D427" s="644"/>
      <c r="E427" s="644">
        <f t="shared" si="42"/>
        <v>400</v>
      </c>
    </row>
    <row r="428" spans="1:5">
      <c r="A428" s="643" t="s">
        <v>288</v>
      </c>
      <c r="B428" s="644">
        <v>1438</v>
      </c>
      <c r="C428" s="644"/>
      <c r="D428" s="644"/>
      <c r="E428" s="644">
        <f t="shared" si="42"/>
        <v>1438</v>
      </c>
    </row>
    <row r="429" spans="1:5">
      <c r="A429" s="641" t="s">
        <v>307</v>
      </c>
      <c r="B429" s="642">
        <f>SUM(B430)</f>
        <v>180000</v>
      </c>
      <c r="C429" s="642"/>
      <c r="D429" s="642"/>
      <c r="E429" s="642">
        <f t="shared" si="42"/>
        <v>180000</v>
      </c>
    </row>
    <row r="430" spans="1:5">
      <c r="A430" s="643" t="s">
        <v>347</v>
      </c>
      <c r="B430" s="644">
        <v>180000</v>
      </c>
      <c r="C430" s="644"/>
      <c r="D430" s="644"/>
      <c r="E430" s="644">
        <f t="shared" si="42"/>
        <v>180000</v>
      </c>
    </row>
    <row r="431" spans="1:5">
      <c r="A431" s="661" t="s">
        <v>275</v>
      </c>
      <c r="B431" s="662">
        <f>SUM(B432)</f>
        <v>2450</v>
      </c>
      <c r="C431" s="662"/>
      <c r="D431" s="662"/>
      <c r="E431" s="662">
        <f t="shared" si="42"/>
        <v>2450</v>
      </c>
    </row>
    <row r="432" spans="1:5">
      <c r="A432" s="645" t="s">
        <v>277</v>
      </c>
      <c r="B432" s="646">
        <v>2450</v>
      </c>
      <c r="C432" s="646"/>
      <c r="D432" s="646"/>
      <c r="E432" s="646">
        <f t="shared" si="42"/>
        <v>2450</v>
      </c>
    </row>
    <row r="433" spans="1:5">
      <c r="A433" s="643"/>
      <c r="B433" s="644"/>
      <c r="C433" s="644"/>
      <c r="D433" s="644"/>
      <c r="E433" s="644">
        <f t="shared" si="42"/>
        <v>0</v>
      </c>
    </row>
    <row r="434" spans="1:5">
      <c r="A434" s="641" t="s">
        <v>348</v>
      </c>
      <c r="B434" s="642">
        <f>B435+B437</f>
        <v>148421</v>
      </c>
      <c r="C434" s="642"/>
      <c r="D434" s="651">
        <f>D435</f>
        <v>40000</v>
      </c>
      <c r="E434" s="642">
        <f t="shared" si="42"/>
        <v>188421</v>
      </c>
    </row>
    <row r="435" spans="1:5">
      <c r="A435" s="669" t="s">
        <v>275</v>
      </c>
      <c r="B435" s="662">
        <f>SUM(B436)</f>
        <v>126825</v>
      </c>
      <c r="C435" s="662"/>
      <c r="D435" s="671">
        <f>SUM(D436)</f>
        <v>40000</v>
      </c>
      <c r="E435" s="662">
        <f t="shared" si="42"/>
        <v>166825</v>
      </c>
    </row>
    <row r="436" spans="1:5">
      <c r="A436" s="643" t="s">
        <v>349</v>
      </c>
      <c r="B436" s="644">
        <v>126825</v>
      </c>
      <c r="C436" s="644"/>
      <c r="D436" s="657">
        <v>40000</v>
      </c>
      <c r="E436" s="644">
        <f t="shared" si="42"/>
        <v>166825</v>
      </c>
    </row>
    <row r="437" spans="1:5">
      <c r="A437" s="641" t="s">
        <v>271</v>
      </c>
      <c r="B437" s="642">
        <f>SUM(B438)</f>
        <v>21596</v>
      </c>
      <c r="C437" s="642"/>
      <c r="D437" s="642"/>
      <c r="E437" s="642">
        <f t="shared" si="42"/>
        <v>21596</v>
      </c>
    </row>
    <row r="438" spans="1:5">
      <c r="A438" s="643" t="s">
        <v>272</v>
      </c>
      <c r="B438" s="644">
        <v>21596</v>
      </c>
      <c r="C438" s="644"/>
      <c r="D438" s="644"/>
      <c r="E438" s="644">
        <f t="shared" si="42"/>
        <v>21596</v>
      </c>
    </row>
    <row r="439" spans="1:5">
      <c r="A439" s="641"/>
      <c r="B439" s="642"/>
      <c r="C439" s="642"/>
      <c r="D439" s="642"/>
      <c r="E439" s="642">
        <f t="shared" si="42"/>
        <v>0</v>
      </c>
    </row>
    <row r="440" spans="1:5">
      <c r="A440" s="639" t="s">
        <v>350</v>
      </c>
      <c r="B440" s="640">
        <f>SUM(B442,B449,B457,B466)</f>
        <v>4007930</v>
      </c>
      <c r="C440" s="640">
        <f>SUM(C442,C449,C457,C466)</f>
        <v>1600</v>
      </c>
      <c r="D440" s="640">
        <f>SUM(D442,D449,D457,D466)</f>
        <v>297000</v>
      </c>
      <c r="E440" s="640">
        <f t="shared" si="42"/>
        <v>4306530</v>
      </c>
    </row>
    <row r="441" spans="1:5">
      <c r="A441" s="672"/>
      <c r="B441" s="673"/>
      <c r="C441" s="673"/>
      <c r="D441" s="673"/>
      <c r="E441" s="673">
        <f t="shared" si="42"/>
        <v>0</v>
      </c>
    </row>
    <row r="442" spans="1:5">
      <c r="A442" s="658" t="s">
        <v>351</v>
      </c>
      <c r="B442" s="659">
        <f>SUM(B443,B446)</f>
        <v>55430</v>
      </c>
      <c r="C442" s="659"/>
      <c r="D442" s="659"/>
      <c r="E442" s="659">
        <f t="shared" si="42"/>
        <v>55430</v>
      </c>
    </row>
    <row r="443" spans="1:5">
      <c r="A443" s="641" t="s">
        <v>271</v>
      </c>
      <c r="B443" s="642">
        <f>SUM(B444:B445)</f>
        <v>51430</v>
      </c>
      <c r="C443" s="642"/>
      <c r="D443" s="642"/>
      <c r="E443" s="642">
        <f t="shared" si="42"/>
        <v>51430</v>
      </c>
    </row>
    <row r="444" spans="1:5">
      <c r="A444" s="643" t="s">
        <v>272</v>
      </c>
      <c r="B444" s="644">
        <v>30430</v>
      </c>
      <c r="C444" s="644"/>
      <c r="D444" s="644"/>
      <c r="E444" s="644">
        <f t="shared" si="42"/>
        <v>30430</v>
      </c>
    </row>
    <row r="445" spans="1:5">
      <c r="A445" s="643" t="s">
        <v>273</v>
      </c>
      <c r="B445" s="644">
        <v>21000</v>
      </c>
      <c r="C445" s="644"/>
      <c r="D445" s="644"/>
      <c r="E445" s="644">
        <f t="shared" si="42"/>
        <v>21000</v>
      </c>
    </row>
    <row r="446" spans="1:5">
      <c r="A446" s="641" t="s">
        <v>352</v>
      </c>
      <c r="B446" s="642">
        <f>SUM(B447:B447)</f>
        <v>4000</v>
      </c>
      <c r="C446" s="642"/>
      <c r="D446" s="642"/>
      <c r="E446" s="642">
        <f t="shared" si="42"/>
        <v>4000</v>
      </c>
    </row>
    <row r="447" spans="1:5">
      <c r="A447" s="643" t="s">
        <v>353</v>
      </c>
      <c r="B447" s="644">
        <f>1600+2400</f>
        <v>4000</v>
      </c>
      <c r="C447" s="644"/>
      <c r="D447" s="644"/>
      <c r="E447" s="644">
        <f t="shared" si="42"/>
        <v>4000</v>
      </c>
    </row>
    <row r="448" spans="1:5">
      <c r="A448" s="658"/>
      <c r="B448" s="659"/>
      <c r="C448" s="659"/>
      <c r="D448" s="659"/>
      <c r="E448" s="659">
        <f t="shared" si="42"/>
        <v>0</v>
      </c>
    </row>
    <row r="449" spans="1:5">
      <c r="A449" s="641" t="s">
        <v>354</v>
      </c>
      <c r="B449" s="642">
        <f>SUM(B450,B452)</f>
        <v>718000</v>
      </c>
      <c r="C449" s="642"/>
      <c r="D449" s="642">
        <f>SUM(D450,D452)</f>
        <v>37000</v>
      </c>
      <c r="E449" s="642">
        <f t="shared" si="42"/>
        <v>755000</v>
      </c>
    </row>
    <row r="450" spans="1:5">
      <c r="A450" s="641" t="s">
        <v>271</v>
      </c>
      <c r="B450" s="642">
        <f>SUM(B451:B451)</f>
        <v>500</v>
      </c>
      <c r="C450" s="642"/>
      <c r="D450" s="642">
        <f>SUM(D451:D451)</f>
        <v>-150</v>
      </c>
      <c r="E450" s="642">
        <f t="shared" si="42"/>
        <v>350</v>
      </c>
    </row>
    <row r="451" spans="1:5">
      <c r="A451" s="643" t="s">
        <v>273</v>
      </c>
      <c r="B451" s="644">
        <v>500</v>
      </c>
      <c r="C451" s="644"/>
      <c r="D451" s="657">
        <v>-150</v>
      </c>
      <c r="E451" s="644">
        <f t="shared" si="42"/>
        <v>350</v>
      </c>
    </row>
    <row r="452" spans="1:5">
      <c r="A452" s="669" t="s">
        <v>275</v>
      </c>
      <c r="B452" s="662">
        <f>SUM(B453:B455)</f>
        <v>717500</v>
      </c>
      <c r="C452" s="662"/>
      <c r="D452" s="671">
        <f>SUM(D453:D454)</f>
        <v>37150</v>
      </c>
      <c r="E452" s="662">
        <f t="shared" ref="E452:E515" si="49">SUM(B452:D452)</f>
        <v>754650</v>
      </c>
    </row>
    <row r="453" spans="1:5">
      <c r="A453" s="643" t="s">
        <v>355</v>
      </c>
      <c r="B453" s="644">
        <f>700300+2700</f>
        <v>703000</v>
      </c>
      <c r="C453" s="644"/>
      <c r="D453" s="657">
        <v>37000</v>
      </c>
      <c r="E453" s="644">
        <f t="shared" si="49"/>
        <v>740000</v>
      </c>
    </row>
    <row r="454" spans="1:5">
      <c r="A454" s="643" t="s">
        <v>389</v>
      </c>
      <c r="B454" s="644">
        <v>14000</v>
      </c>
      <c r="C454" s="644"/>
      <c r="D454" s="644">
        <v>150</v>
      </c>
      <c r="E454" s="644">
        <f t="shared" si="49"/>
        <v>14150</v>
      </c>
    </row>
    <row r="455" spans="1:5">
      <c r="A455" s="643" t="s">
        <v>390</v>
      </c>
      <c r="B455" s="644">
        <v>500</v>
      </c>
      <c r="C455" s="644"/>
      <c r="D455" s="644"/>
      <c r="E455" s="644">
        <f t="shared" si="49"/>
        <v>500</v>
      </c>
    </row>
    <row r="456" spans="1:5">
      <c r="A456" s="641"/>
      <c r="B456" s="642"/>
      <c r="C456" s="642"/>
      <c r="D456" s="642"/>
      <c r="E456" s="642">
        <f t="shared" si="49"/>
        <v>0</v>
      </c>
    </row>
    <row r="457" spans="1:5">
      <c r="A457" s="641" t="s">
        <v>356</v>
      </c>
      <c r="B457" s="642">
        <f>B458+B462</f>
        <v>234500</v>
      </c>
      <c r="C457" s="642">
        <f>C458+C462</f>
        <v>1600</v>
      </c>
      <c r="D457" s="642">
        <f>D458+D462</f>
        <v>0</v>
      </c>
      <c r="E457" s="642">
        <f t="shared" si="49"/>
        <v>236100</v>
      </c>
    </row>
    <row r="458" spans="1:5">
      <c r="A458" s="669" t="s">
        <v>286</v>
      </c>
      <c r="B458" s="662">
        <f>B459+B460</f>
        <v>232600</v>
      </c>
      <c r="C458" s="662">
        <f>C459+C460+C461</f>
        <v>-42800</v>
      </c>
      <c r="D458" s="662">
        <f>D459+D460</f>
        <v>-1100</v>
      </c>
      <c r="E458" s="662">
        <f t="shared" si="49"/>
        <v>188700</v>
      </c>
    </row>
    <row r="459" spans="1:5">
      <c r="A459" s="643" t="s">
        <v>0</v>
      </c>
      <c r="B459" s="644">
        <v>142000</v>
      </c>
      <c r="C459" s="644"/>
      <c r="D459" s="657">
        <v>-7600</v>
      </c>
      <c r="E459" s="644">
        <f t="shared" si="49"/>
        <v>134400</v>
      </c>
    </row>
    <row r="460" spans="1:5">
      <c r="A460" s="643" t="s">
        <v>1</v>
      </c>
      <c r="B460" s="644">
        <f>81000+9600</f>
        <v>90600</v>
      </c>
      <c r="C460" s="644">
        <f>-44400-9500-9600</f>
        <v>-63500</v>
      </c>
      <c r="D460" s="657">
        <v>6500</v>
      </c>
      <c r="E460" s="644">
        <f t="shared" si="49"/>
        <v>33600</v>
      </c>
    </row>
    <row r="461" spans="1:5">
      <c r="A461" s="643" t="s">
        <v>741</v>
      </c>
      <c r="B461" s="644"/>
      <c r="C461" s="644">
        <f>9500+9600+1600</f>
        <v>20700</v>
      </c>
      <c r="D461" s="644"/>
      <c r="E461" s="644">
        <f t="shared" si="49"/>
        <v>20700</v>
      </c>
    </row>
    <row r="462" spans="1:5">
      <c r="A462" s="641" t="s">
        <v>271</v>
      </c>
      <c r="B462" s="642">
        <f>B464</f>
        <v>1900</v>
      </c>
      <c r="C462" s="642">
        <f t="shared" ref="C462" si="50">C463+C464</f>
        <v>44400</v>
      </c>
      <c r="D462" s="642">
        <f>D464</f>
        <v>1100</v>
      </c>
      <c r="E462" s="642">
        <f t="shared" si="49"/>
        <v>47400</v>
      </c>
    </row>
    <row r="463" spans="1:5">
      <c r="A463" s="643" t="s">
        <v>272</v>
      </c>
      <c r="B463" s="642"/>
      <c r="C463" s="642">
        <v>44400</v>
      </c>
      <c r="D463" s="642"/>
      <c r="E463" s="642">
        <f t="shared" si="49"/>
        <v>44400</v>
      </c>
    </row>
    <row r="464" spans="1:5">
      <c r="A464" s="643" t="s">
        <v>273</v>
      </c>
      <c r="B464" s="644">
        <f>900+1000</f>
        <v>1900</v>
      </c>
      <c r="C464" s="644"/>
      <c r="D464" s="644">
        <v>1100</v>
      </c>
      <c r="E464" s="644">
        <f t="shared" si="49"/>
        <v>3000</v>
      </c>
    </row>
    <row r="465" spans="1:5">
      <c r="A465" s="643"/>
      <c r="B465" s="644"/>
      <c r="C465" s="644"/>
      <c r="D465" s="644"/>
      <c r="E465" s="644">
        <f t="shared" si="49"/>
        <v>0</v>
      </c>
    </row>
    <row r="466" spans="1:5">
      <c r="A466" s="641" t="s">
        <v>574</v>
      </c>
      <c r="B466" s="642">
        <f>SUM(B467)</f>
        <v>3000000</v>
      </c>
      <c r="C466" s="642"/>
      <c r="D466" s="651">
        <f>SUM(D467)</f>
        <v>260000</v>
      </c>
      <c r="E466" s="642">
        <f t="shared" si="49"/>
        <v>3260000</v>
      </c>
    </row>
    <row r="467" spans="1:5">
      <c r="A467" s="669" t="s">
        <v>352</v>
      </c>
      <c r="B467" s="662">
        <f>SUM(B468:B468)</f>
        <v>3000000</v>
      </c>
      <c r="C467" s="662"/>
      <c r="D467" s="671">
        <f>SUM(D468:D468)</f>
        <v>260000</v>
      </c>
      <c r="E467" s="662">
        <f t="shared" si="49"/>
        <v>3260000</v>
      </c>
    </row>
    <row r="468" spans="1:5">
      <c r="A468" s="643" t="s">
        <v>35</v>
      </c>
      <c r="B468" s="644">
        <f>1200000+1800000</f>
        <v>3000000</v>
      </c>
      <c r="C468" s="644"/>
      <c r="D468" s="657">
        <v>260000</v>
      </c>
      <c r="E468" s="644">
        <f t="shared" si="49"/>
        <v>3260000</v>
      </c>
    </row>
    <row r="469" spans="1:5">
      <c r="A469" s="641"/>
      <c r="B469" s="642"/>
      <c r="C469" s="642"/>
      <c r="D469" s="642"/>
      <c r="E469" s="642">
        <f t="shared" si="49"/>
        <v>0</v>
      </c>
    </row>
    <row r="470" spans="1:5">
      <c r="A470" s="639" t="s">
        <v>2</v>
      </c>
      <c r="B470" s="640">
        <f>SUM(B471,B473)</f>
        <v>13550</v>
      </c>
      <c r="C470" s="640"/>
      <c r="D470" s="640"/>
      <c r="E470" s="640">
        <f t="shared" si="49"/>
        <v>13550</v>
      </c>
    </row>
    <row r="471" spans="1:5">
      <c r="A471" s="641" t="s">
        <v>279</v>
      </c>
      <c r="B471" s="642">
        <f>SUM(B472)</f>
        <v>9000</v>
      </c>
      <c r="C471" s="642"/>
      <c r="D471" s="642"/>
      <c r="E471" s="642">
        <f t="shared" si="49"/>
        <v>9000</v>
      </c>
    </row>
    <row r="472" spans="1:5">
      <c r="A472" s="643" t="s">
        <v>280</v>
      </c>
      <c r="B472" s="644">
        <v>9000</v>
      </c>
      <c r="C472" s="644"/>
      <c r="D472" s="644"/>
      <c r="E472" s="644">
        <f t="shared" si="49"/>
        <v>9000</v>
      </c>
    </row>
    <row r="473" spans="1:5">
      <c r="A473" s="641" t="s">
        <v>275</v>
      </c>
      <c r="B473" s="642">
        <f>SUM(B474)</f>
        <v>4550</v>
      </c>
      <c r="C473" s="642"/>
      <c r="D473" s="642"/>
      <c r="E473" s="642">
        <f t="shared" si="49"/>
        <v>4550</v>
      </c>
    </row>
    <row r="474" spans="1:5">
      <c r="A474" s="643" t="s">
        <v>304</v>
      </c>
      <c r="B474" s="644">
        <v>4550</v>
      </c>
      <c r="C474" s="644"/>
      <c r="D474" s="644"/>
      <c r="E474" s="644">
        <f t="shared" si="49"/>
        <v>4550</v>
      </c>
    </row>
    <row r="475" spans="1:5">
      <c r="A475" s="641"/>
      <c r="B475" s="642"/>
      <c r="C475" s="642"/>
      <c r="D475" s="642"/>
      <c r="E475" s="642">
        <f t="shared" si="49"/>
        <v>0</v>
      </c>
    </row>
    <row r="476" spans="1:5">
      <c r="A476" s="639" t="s">
        <v>3</v>
      </c>
      <c r="B476" s="640">
        <f>B478+B492+B499</f>
        <v>345570</v>
      </c>
      <c r="C476" s="640"/>
      <c r="D476" s="640">
        <f>D478+D492+D499</f>
        <v>4410</v>
      </c>
      <c r="E476" s="640">
        <f t="shared" si="49"/>
        <v>349980</v>
      </c>
    </row>
    <row r="477" spans="1:5">
      <c r="A477" s="647"/>
      <c r="B477" s="648"/>
      <c r="C477" s="648"/>
      <c r="D477" s="648"/>
      <c r="E477" s="648">
        <f t="shared" si="49"/>
        <v>0</v>
      </c>
    </row>
    <row r="478" spans="1:5">
      <c r="A478" s="641" t="s">
        <v>4</v>
      </c>
      <c r="B478" s="642">
        <f>B479+B482+B485+B488</f>
        <v>289290</v>
      </c>
      <c r="C478" s="642"/>
      <c r="D478" s="642">
        <f>D479+D482+D485+D488</f>
        <v>-4460</v>
      </c>
      <c r="E478" s="642">
        <f t="shared" si="49"/>
        <v>284830</v>
      </c>
    </row>
    <row r="479" spans="1:5">
      <c r="A479" s="641" t="s">
        <v>316</v>
      </c>
      <c r="B479" s="642">
        <f>SUM(B480:B481)</f>
        <v>51000</v>
      </c>
      <c r="C479" s="642"/>
      <c r="D479" s="642">
        <f>SUM(D480:D481)</f>
        <v>-8000</v>
      </c>
      <c r="E479" s="642">
        <f t="shared" si="49"/>
        <v>43000</v>
      </c>
    </row>
    <row r="480" spans="1:5">
      <c r="A480" s="643" t="s">
        <v>317</v>
      </c>
      <c r="B480" s="644">
        <v>15000</v>
      </c>
      <c r="C480" s="644"/>
      <c r="D480" s="644">
        <v>-2000</v>
      </c>
      <c r="E480" s="644">
        <f t="shared" si="49"/>
        <v>13000</v>
      </c>
    </row>
    <row r="481" spans="1:5">
      <c r="A481" s="643" t="s">
        <v>273</v>
      </c>
      <c r="B481" s="644">
        <v>36000</v>
      </c>
      <c r="C481" s="644"/>
      <c r="D481" s="644">
        <v>-6000</v>
      </c>
      <c r="E481" s="644">
        <f t="shared" si="49"/>
        <v>30000</v>
      </c>
    </row>
    <row r="482" spans="1:5">
      <c r="A482" s="641" t="s">
        <v>271</v>
      </c>
      <c r="B482" s="642">
        <f>SUM(B483:B484)</f>
        <v>135960</v>
      </c>
      <c r="C482" s="642"/>
      <c r="D482" s="642">
        <f>SUM(D483:D484)</f>
        <v>-3200</v>
      </c>
      <c r="E482" s="642">
        <f t="shared" si="49"/>
        <v>132760</v>
      </c>
    </row>
    <row r="483" spans="1:5">
      <c r="A483" s="643" t="s">
        <v>272</v>
      </c>
      <c r="B483" s="644">
        <v>82960</v>
      </c>
      <c r="C483" s="644"/>
      <c r="D483" s="644">
        <v>-1700</v>
      </c>
      <c r="E483" s="644">
        <f t="shared" si="49"/>
        <v>81260</v>
      </c>
    </row>
    <row r="484" spans="1:5">
      <c r="A484" s="643" t="s">
        <v>273</v>
      </c>
      <c r="B484" s="644">
        <v>53000</v>
      </c>
      <c r="C484" s="644"/>
      <c r="D484" s="644">
        <v>-1500</v>
      </c>
      <c r="E484" s="644">
        <f t="shared" si="49"/>
        <v>51500</v>
      </c>
    </row>
    <row r="485" spans="1:5">
      <c r="A485" s="641" t="s">
        <v>311</v>
      </c>
      <c r="B485" s="642">
        <f>B486+B487</f>
        <v>28330</v>
      </c>
      <c r="C485" s="642"/>
      <c r="D485" s="642">
        <f>D486+D487</f>
        <v>3240</v>
      </c>
      <c r="E485" s="642">
        <f t="shared" si="49"/>
        <v>31570</v>
      </c>
    </row>
    <row r="486" spans="1:5">
      <c r="A486" s="645" t="s">
        <v>337</v>
      </c>
      <c r="B486" s="646">
        <v>22000</v>
      </c>
      <c r="C486" s="646"/>
      <c r="D486" s="646">
        <v>3800</v>
      </c>
      <c r="E486" s="646">
        <f t="shared" si="49"/>
        <v>25800</v>
      </c>
    </row>
    <row r="487" spans="1:5">
      <c r="A487" s="645" t="s">
        <v>312</v>
      </c>
      <c r="B487" s="646">
        <v>6330</v>
      </c>
      <c r="C487" s="646"/>
      <c r="D487" s="646">
        <v>-560</v>
      </c>
      <c r="E487" s="646">
        <f t="shared" si="49"/>
        <v>5770</v>
      </c>
    </row>
    <row r="488" spans="1:5">
      <c r="A488" s="641" t="s">
        <v>275</v>
      </c>
      <c r="B488" s="642">
        <f>SUM(B489:B490)</f>
        <v>74000</v>
      </c>
      <c r="C488" s="642"/>
      <c r="D488" s="642">
        <f>SUM(D489:D490)</f>
        <v>3500</v>
      </c>
      <c r="E488" s="642">
        <f t="shared" si="49"/>
        <v>77500</v>
      </c>
    </row>
    <row r="489" spans="1:5">
      <c r="A489" s="643" t="s">
        <v>6</v>
      </c>
      <c r="B489" s="644">
        <v>65000</v>
      </c>
      <c r="C489" s="644"/>
      <c r="D489" s="644">
        <v>1700</v>
      </c>
      <c r="E489" s="644">
        <f t="shared" si="49"/>
        <v>66700</v>
      </c>
    </row>
    <row r="490" spans="1:5">
      <c r="A490" s="645" t="s">
        <v>313</v>
      </c>
      <c r="B490" s="646">
        <v>9000</v>
      </c>
      <c r="C490" s="646"/>
      <c r="D490" s="646">
        <v>1800</v>
      </c>
      <c r="E490" s="646">
        <f t="shared" si="49"/>
        <v>10800</v>
      </c>
    </row>
    <row r="491" spans="1:5">
      <c r="A491" s="645"/>
      <c r="B491" s="646"/>
      <c r="C491" s="646"/>
      <c r="D491" s="646"/>
      <c r="E491" s="646">
        <f t="shared" si="49"/>
        <v>0</v>
      </c>
    </row>
    <row r="492" spans="1:5">
      <c r="A492" s="658" t="s">
        <v>7</v>
      </c>
      <c r="B492" s="659">
        <f>B493+B496</f>
        <v>39180</v>
      </c>
      <c r="C492" s="659"/>
      <c r="D492" s="659">
        <f>D493+D496</f>
        <v>8870</v>
      </c>
      <c r="E492" s="659">
        <f t="shared" si="49"/>
        <v>48050</v>
      </c>
    </row>
    <row r="493" spans="1:5">
      <c r="A493" s="641" t="s">
        <v>286</v>
      </c>
      <c r="B493" s="642">
        <f>SUM(B494:B495)</f>
        <v>25630</v>
      </c>
      <c r="C493" s="642"/>
      <c r="D493" s="642">
        <f>SUM(D494:D495)</f>
        <v>4970</v>
      </c>
      <c r="E493" s="642">
        <f t="shared" si="49"/>
        <v>30600</v>
      </c>
    </row>
    <row r="494" spans="1:5">
      <c r="A494" s="645" t="s">
        <v>299</v>
      </c>
      <c r="B494" s="646">
        <v>630</v>
      </c>
      <c r="C494" s="646"/>
      <c r="D494" s="646">
        <v>-630</v>
      </c>
      <c r="E494" s="646">
        <f t="shared" si="49"/>
        <v>0</v>
      </c>
    </row>
    <row r="495" spans="1:5">
      <c r="A495" s="645" t="s">
        <v>306</v>
      </c>
      <c r="B495" s="646">
        <v>25000</v>
      </c>
      <c r="C495" s="646"/>
      <c r="D495" s="646">
        <v>5600</v>
      </c>
      <c r="E495" s="646">
        <f t="shared" si="49"/>
        <v>30600</v>
      </c>
    </row>
    <row r="496" spans="1:5">
      <c r="A496" s="641" t="s">
        <v>287</v>
      </c>
      <c r="B496" s="642">
        <f>SUM(B497:B497)</f>
        <v>13550</v>
      </c>
      <c r="C496" s="642"/>
      <c r="D496" s="642">
        <f>SUM(D497:D497)</f>
        <v>3900</v>
      </c>
      <c r="E496" s="642">
        <f t="shared" si="49"/>
        <v>17450</v>
      </c>
    </row>
    <row r="497" spans="1:5">
      <c r="A497" s="643" t="s">
        <v>298</v>
      </c>
      <c r="B497" s="644">
        <v>13550</v>
      </c>
      <c r="C497" s="644"/>
      <c r="D497" s="644">
        <v>3900</v>
      </c>
      <c r="E497" s="644">
        <f t="shared" si="49"/>
        <v>17450</v>
      </c>
    </row>
    <row r="498" spans="1:5">
      <c r="A498" s="643"/>
      <c r="B498" s="644"/>
      <c r="C498" s="644"/>
      <c r="D498" s="644"/>
      <c r="E498" s="644">
        <f t="shared" si="49"/>
        <v>0</v>
      </c>
    </row>
    <row r="499" spans="1:5">
      <c r="A499" s="641" t="s">
        <v>8</v>
      </c>
      <c r="B499" s="642">
        <f>B500</f>
        <v>17100</v>
      </c>
      <c r="C499" s="642"/>
      <c r="D499" s="642">
        <f>D500</f>
        <v>0</v>
      </c>
      <c r="E499" s="642">
        <f t="shared" si="49"/>
        <v>17100</v>
      </c>
    </row>
    <row r="500" spans="1:5">
      <c r="A500" s="641" t="s">
        <v>322</v>
      </c>
      <c r="B500" s="642">
        <f>SUM(B501:B505)</f>
        <v>17100</v>
      </c>
      <c r="C500" s="642"/>
      <c r="D500" s="642">
        <f>SUM(D501:D505)</f>
        <v>0</v>
      </c>
      <c r="E500" s="642">
        <f t="shared" si="49"/>
        <v>17100</v>
      </c>
    </row>
    <row r="501" spans="1:5">
      <c r="A501" s="649" t="s">
        <v>5</v>
      </c>
      <c r="B501" s="650">
        <v>2600</v>
      </c>
      <c r="C501" s="650"/>
      <c r="D501" s="650"/>
      <c r="E501" s="650">
        <f t="shared" si="49"/>
        <v>2600</v>
      </c>
    </row>
    <row r="502" spans="1:5">
      <c r="A502" s="645" t="s">
        <v>324</v>
      </c>
      <c r="B502" s="646">
        <v>9500</v>
      </c>
      <c r="C502" s="646"/>
      <c r="D502" s="646"/>
      <c r="E502" s="646">
        <f t="shared" si="49"/>
        <v>9500</v>
      </c>
    </row>
    <row r="503" spans="1:5">
      <c r="A503" s="645" t="s">
        <v>280</v>
      </c>
      <c r="B503" s="646">
        <v>800</v>
      </c>
      <c r="C503" s="646"/>
      <c r="D503" s="646"/>
      <c r="E503" s="646">
        <f t="shared" si="49"/>
        <v>800</v>
      </c>
    </row>
    <row r="504" spans="1:5">
      <c r="A504" s="645" t="s">
        <v>9</v>
      </c>
      <c r="B504" s="646">
        <v>2500</v>
      </c>
      <c r="C504" s="646"/>
      <c r="D504" s="646"/>
      <c r="E504" s="646">
        <f t="shared" si="49"/>
        <v>2500</v>
      </c>
    </row>
    <row r="505" spans="1:5">
      <c r="A505" s="643" t="s">
        <v>114</v>
      </c>
      <c r="B505" s="644">
        <v>1700</v>
      </c>
      <c r="C505" s="644"/>
      <c r="D505" s="644"/>
      <c r="E505" s="644">
        <f t="shared" si="49"/>
        <v>1700</v>
      </c>
    </row>
    <row r="506" spans="1:5">
      <c r="A506" s="643"/>
      <c r="B506" s="644"/>
      <c r="C506" s="644"/>
      <c r="D506" s="644"/>
      <c r="E506" s="644">
        <f t="shared" si="49"/>
        <v>0</v>
      </c>
    </row>
    <row r="507" spans="1:5">
      <c r="A507" s="639" t="s">
        <v>102</v>
      </c>
      <c r="B507" s="640">
        <f>B509+B524+B532+B540</f>
        <v>4672530</v>
      </c>
      <c r="C507" s="640">
        <f>C509+C524+C532+C540</f>
        <v>-209970</v>
      </c>
      <c r="D507" s="640">
        <f>D509+D524+D532+D540</f>
        <v>-44700</v>
      </c>
      <c r="E507" s="640">
        <f t="shared" si="49"/>
        <v>4417860</v>
      </c>
    </row>
    <row r="508" spans="1:5">
      <c r="A508" s="647"/>
      <c r="B508" s="648"/>
      <c r="C508" s="648"/>
      <c r="D508" s="648"/>
      <c r="E508" s="648">
        <f t="shared" si="49"/>
        <v>0</v>
      </c>
    </row>
    <row r="509" spans="1:5">
      <c r="A509" s="641" t="s">
        <v>103</v>
      </c>
      <c r="B509" s="642">
        <f>B510+B513+B517+B520</f>
        <v>4369470</v>
      </c>
      <c r="C509" s="642">
        <f>C510+C513+C517+C520</f>
        <v>-193470</v>
      </c>
      <c r="D509" s="642">
        <f>D510+D513+D517+D520</f>
        <v>-41650</v>
      </c>
      <c r="E509" s="642">
        <f t="shared" si="49"/>
        <v>4134350</v>
      </c>
    </row>
    <row r="510" spans="1:5">
      <c r="A510" s="641" t="s">
        <v>316</v>
      </c>
      <c r="B510" s="642">
        <f>SUM(B511:B512)</f>
        <v>50000</v>
      </c>
      <c r="C510" s="642">
        <f>SUM(C511:C512)</f>
        <v>-7400</v>
      </c>
      <c r="D510" s="642">
        <f>SUM(D511:D512)</f>
        <v>3000</v>
      </c>
      <c r="E510" s="642">
        <f t="shared" si="49"/>
        <v>45600</v>
      </c>
    </row>
    <row r="511" spans="1:5">
      <c r="A511" s="643" t="s">
        <v>317</v>
      </c>
      <c r="B511" s="644">
        <v>31000</v>
      </c>
      <c r="C511" s="644">
        <v>-3400</v>
      </c>
      <c r="D511" s="644">
        <v>3000</v>
      </c>
      <c r="E511" s="644">
        <f t="shared" si="49"/>
        <v>30600</v>
      </c>
    </row>
    <row r="512" spans="1:5">
      <c r="A512" s="643" t="s">
        <v>273</v>
      </c>
      <c r="B512" s="644">
        <v>19000</v>
      </c>
      <c r="C512" s="644">
        <v>-4000</v>
      </c>
      <c r="D512" s="644"/>
      <c r="E512" s="644">
        <f t="shared" si="49"/>
        <v>15000</v>
      </c>
    </row>
    <row r="513" spans="1:5">
      <c r="A513" s="641" t="s">
        <v>271</v>
      </c>
      <c r="B513" s="642">
        <f>SUM(B514:B515)</f>
        <v>2759520</v>
      </c>
      <c r="C513" s="642">
        <f>SUM(C514:C516)</f>
        <v>-17820</v>
      </c>
      <c r="D513" s="642">
        <f>SUM(D514:D516)</f>
        <v>-1000</v>
      </c>
      <c r="E513" s="642">
        <f t="shared" si="49"/>
        <v>2740700</v>
      </c>
    </row>
    <row r="514" spans="1:5">
      <c r="A514" s="643" t="s">
        <v>272</v>
      </c>
      <c r="B514" s="644">
        <v>2691520</v>
      </c>
      <c r="C514" s="644">
        <v>-30520</v>
      </c>
      <c r="D514" s="644">
        <v>4000</v>
      </c>
      <c r="E514" s="644">
        <f t="shared" si="49"/>
        <v>2665000</v>
      </c>
    </row>
    <row r="515" spans="1:5">
      <c r="A515" s="643" t="s">
        <v>273</v>
      </c>
      <c r="B515" s="644">
        <v>68000</v>
      </c>
      <c r="C515" s="644"/>
      <c r="D515" s="644">
        <v>-5000</v>
      </c>
      <c r="E515" s="644">
        <f t="shared" si="49"/>
        <v>63000</v>
      </c>
    </row>
    <row r="516" spans="1:5">
      <c r="A516" s="643" t="s">
        <v>288</v>
      </c>
      <c r="B516" s="644"/>
      <c r="C516" s="644">
        <v>12700</v>
      </c>
      <c r="D516" s="644"/>
      <c r="E516" s="644">
        <f t="shared" ref="E516:E579" si="51">SUM(B516:D516)</f>
        <v>12700</v>
      </c>
    </row>
    <row r="517" spans="1:5">
      <c r="A517" s="658" t="s">
        <v>275</v>
      </c>
      <c r="B517" s="659">
        <f>B518+B519</f>
        <v>275950</v>
      </c>
      <c r="C517" s="659">
        <f>C518+C519</f>
        <v>18750</v>
      </c>
      <c r="D517" s="659">
        <f>D518+D519</f>
        <v>12300</v>
      </c>
      <c r="E517" s="659">
        <f t="shared" si="51"/>
        <v>307000</v>
      </c>
    </row>
    <row r="518" spans="1:5">
      <c r="A518" s="643" t="s">
        <v>6</v>
      </c>
      <c r="B518" s="644">
        <v>271950</v>
      </c>
      <c r="C518" s="644">
        <v>18750</v>
      </c>
      <c r="D518" s="644">
        <v>12300</v>
      </c>
      <c r="E518" s="644">
        <f t="shared" si="51"/>
        <v>303000</v>
      </c>
    </row>
    <row r="519" spans="1:5">
      <c r="A519" s="643" t="s">
        <v>313</v>
      </c>
      <c r="B519" s="644">
        <v>4000</v>
      </c>
      <c r="C519" s="644"/>
      <c r="D519" s="644"/>
      <c r="E519" s="644">
        <f t="shared" si="51"/>
        <v>4000</v>
      </c>
    </row>
    <row r="520" spans="1:5">
      <c r="A520" s="641" t="s">
        <v>311</v>
      </c>
      <c r="B520" s="642">
        <f>SUM(B521:B522)</f>
        <v>1284000</v>
      </c>
      <c r="C520" s="642">
        <f>SUM(C521:C522)</f>
        <v>-187000</v>
      </c>
      <c r="D520" s="642">
        <f>SUM(D521:D522)</f>
        <v>-55950</v>
      </c>
      <c r="E520" s="642">
        <f t="shared" si="51"/>
        <v>1041050</v>
      </c>
    </row>
    <row r="521" spans="1:5">
      <c r="A521" s="645" t="s">
        <v>337</v>
      </c>
      <c r="B521" s="646">
        <v>1270000</v>
      </c>
      <c r="C521" s="646">
        <v>-187000</v>
      </c>
      <c r="D521" s="646">
        <v>-63000</v>
      </c>
      <c r="E521" s="646">
        <f t="shared" si="51"/>
        <v>1020000</v>
      </c>
    </row>
    <row r="522" spans="1:5">
      <c r="A522" s="674" t="s">
        <v>339</v>
      </c>
      <c r="B522" s="646">
        <v>14000</v>
      </c>
      <c r="C522" s="646"/>
      <c r="D522" s="646">
        <v>7050</v>
      </c>
      <c r="E522" s="646">
        <f t="shared" si="51"/>
        <v>21050</v>
      </c>
    </row>
    <row r="523" spans="1:5">
      <c r="A523" s="647"/>
      <c r="B523" s="648"/>
      <c r="C523" s="648"/>
      <c r="D523" s="648"/>
      <c r="E523" s="648">
        <f t="shared" si="51"/>
        <v>0</v>
      </c>
    </row>
    <row r="524" spans="1:5">
      <c r="A524" s="658" t="s">
        <v>664</v>
      </c>
      <c r="B524" s="659">
        <f>B525</f>
        <v>32800</v>
      </c>
      <c r="C524" s="659">
        <f>C525</f>
        <v>0</v>
      </c>
      <c r="D524" s="659">
        <f>D525</f>
        <v>500</v>
      </c>
      <c r="E524" s="659">
        <f t="shared" si="51"/>
        <v>33300</v>
      </c>
    </row>
    <row r="525" spans="1:5">
      <c r="A525" s="641" t="s">
        <v>322</v>
      </c>
      <c r="B525" s="642">
        <f>SUM(B526:B530)</f>
        <v>32800</v>
      </c>
      <c r="C525" s="642">
        <f>SUM(C526:C530)</f>
        <v>0</v>
      </c>
      <c r="D525" s="642">
        <f>SUM(D526:D530)</f>
        <v>500</v>
      </c>
      <c r="E525" s="642">
        <f t="shared" si="51"/>
        <v>33300</v>
      </c>
    </row>
    <row r="526" spans="1:5">
      <c r="A526" s="645" t="s">
        <v>324</v>
      </c>
      <c r="B526" s="646">
        <v>21000</v>
      </c>
      <c r="C526" s="646"/>
      <c r="D526" s="646">
        <v>3000</v>
      </c>
      <c r="E526" s="646">
        <f t="shared" si="51"/>
        <v>24000</v>
      </c>
    </row>
    <row r="527" spans="1:5">
      <c r="A527" s="645" t="s">
        <v>280</v>
      </c>
      <c r="B527" s="646">
        <v>1600</v>
      </c>
      <c r="C527" s="646"/>
      <c r="D527" s="646"/>
      <c r="E527" s="646">
        <f t="shared" si="51"/>
        <v>1600</v>
      </c>
    </row>
    <row r="528" spans="1:5">
      <c r="A528" s="645" t="s">
        <v>9</v>
      </c>
      <c r="B528" s="646">
        <v>3700</v>
      </c>
      <c r="C528" s="646"/>
      <c r="D528" s="646"/>
      <c r="E528" s="646">
        <f t="shared" si="51"/>
        <v>3700</v>
      </c>
    </row>
    <row r="529" spans="1:5">
      <c r="A529" s="649" t="s">
        <v>5</v>
      </c>
      <c r="B529" s="650">
        <v>5500</v>
      </c>
      <c r="C529" s="650"/>
      <c r="D529" s="650">
        <v>-2500</v>
      </c>
      <c r="E529" s="650">
        <f t="shared" si="51"/>
        <v>3000</v>
      </c>
    </row>
    <row r="530" spans="1:5">
      <c r="A530" s="645" t="s">
        <v>560</v>
      </c>
      <c r="B530" s="646">
        <v>1000</v>
      </c>
      <c r="C530" s="646"/>
      <c r="D530" s="646"/>
      <c r="E530" s="646">
        <f t="shared" si="51"/>
        <v>1000</v>
      </c>
    </row>
    <row r="531" spans="1:5">
      <c r="A531" s="649"/>
      <c r="B531" s="650"/>
      <c r="C531" s="650"/>
      <c r="D531" s="650"/>
      <c r="E531" s="650">
        <f t="shared" si="51"/>
        <v>0</v>
      </c>
    </row>
    <row r="532" spans="1:5">
      <c r="A532" s="641" t="s">
        <v>510</v>
      </c>
      <c r="B532" s="642">
        <f>B533+B536</f>
        <v>190060</v>
      </c>
      <c r="C532" s="642">
        <f>C533+C536</f>
        <v>-12500</v>
      </c>
      <c r="D532" s="642">
        <f>D533+D536</f>
        <v>-5650</v>
      </c>
      <c r="E532" s="642">
        <f t="shared" si="51"/>
        <v>171910</v>
      </c>
    </row>
    <row r="533" spans="1:5">
      <c r="A533" s="658" t="s">
        <v>275</v>
      </c>
      <c r="B533" s="659">
        <f>B534+B535</f>
        <v>133500</v>
      </c>
      <c r="C533" s="659">
        <f>C534+C535</f>
        <v>-10500</v>
      </c>
      <c r="D533" s="659">
        <f>D534+D535</f>
        <v>-4000</v>
      </c>
      <c r="E533" s="659">
        <f t="shared" si="51"/>
        <v>119000</v>
      </c>
    </row>
    <row r="534" spans="1:5">
      <c r="A534" s="643" t="s">
        <v>299</v>
      </c>
      <c r="B534" s="644">
        <v>125000</v>
      </c>
      <c r="C534" s="644">
        <v>-9000</v>
      </c>
      <c r="D534" s="644">
        <v>-4000</v>
      </c>
      <c r="E534" s="644">
        <f t="shared" si="51"/>
        <v>112000</v>
      </c>
    </row>
    <row r="535" spans="1:5">
      <c r="A535" s="645" t="s">
        <v>511</v>
      </c>
      <c r="B535" s="646">
        <v>8500</v>
      </c>
      <c r="C535" s="646">
        <v>-1500</v>
      </c>
      <c r="D535" s="646"/>
      <c r="E535" s="646">
        <f t="shared" si="51"/>
        <v>7000</v>
      </c>
    </row>
    <row r="536" spans="1:5">
      <c r="A536" s="641" t="s">
        <v>271</v>
      </c>
      <c r="B536" s="642">
        <f>B537+B538</f>
        <v>56560</v>
      </c>
      <c r="C536" s="642">
        <f>C537+C538</f>
        <v>-2000</v>
      </c>
      <c r="D536" s="642">
        <f>D537+D538</f>
        <v>-1650</v>
      </c>
      <c r="E536" s="642">
        <f t="shared" si="51"/>
        <v>52910</v>
      </c>
    </row>
    <row r="537" spans="1:5">
      <c r="A537" s="643" t="s">
        <v>272</v>
      </c>
      <c r="B537" s="644">
        <v>23560</v>
      </c>
      <c r="C537" s="644"/>
      <c r="D537" s="644">
        <v>-650</v>
      </c>
      <c r="E537" s="644">
        <f t="shared" si="51"/>
        <v>22910</v>
      </c>
    </row>
    <row r="538" spans="1:5">
      <c r="A538" s="643" t="s">
        <v>273</v>
      </c>
      <c r="B538" s="644">
        <v>33000</v>
      </c>
      <c r="C538" s="644">
        <v>-2000</v>
      </c>
      <c r="D538" s="644">
        <v>-1000</v>
      </c>
      <c r="E538" s="644">
        <f t="shared" si="51"/>
        <v>30000</v>
      </c>
    </row>
    <row r="539" spans="1:5">
      <c r="A539" s="643"/>
      <c r="B539" s="644"/>
      <c r="C539" s="644"/>
      <c r="D539" s="644"/>
      <c r="E539" s="644">
        <f t="shared" si="51"/>
        <v>0</v>
      </c>
    </row>
    <row r="540" spans="1:5">
      <c r="A540" s="641" t="s">
        <v>575</v>
      </c>
      <c r="B540" s="642">
        <f>B541+B547</f>
        <v>80200</v>
      </c>
      <c r="C540" s="642">
        <f>C541+C547</f>
        <v>-4000</v>
      </c>
      <c r="D540" s="642">
        <f>D541+D547</f>
        <v>2100</v>
      </c>
      <c r="E540" s="642">
        <f t="shared" si="51"/>
        <v>78300</v>
      </c>
    </row>
    <row r="541" spans="1:5">
      <c r="A541" s="641" t="s">
        <v>286</v>
      </c>
      <c r="B541" s="642">
        <f>B542+B543+B544+B545+B546</f>
        <v>60800</v>
      </c>
      <c r="C541" s="642">
        <f>C542+C543+C544+C545+C546</f>
        <v>-4000</v>
      </c>
      <c r="D541" s="642">
        <f>D542+D543+D544+D545+D546</f>
        <v>2500</v>
      </c>
      <c r="E541" s="642">
        <f t="shared" si="51"/>
        <v>59300</v>
      </c>
    </row>
    <row r="542" spans="1:5">
      <c r="A542" s="645" t="s">
        <v>306</v>
      </c>
      <c r="B542" s="646">
        <v>34000</v>
      </c>
      <c r="C542" s="646"/>
      <c r="D542" s="646">
        <v>3500</v>
      </c>
      <c r="E542" s="646">
        <f t="shared" si="51"/>
        <v>37500</v>
      </c>
    </row>
    <row r="543" spans="1:5">
      <c r="A543" s="643" t="s">
        <v>299</v>
      </c>
      <c r="B543" s="644">
        <v>16000</v>
      </c>
      <c r="C543" s="644"/>
      <c r="D543" s="644">
        <v>-4000</v>
      </c>
      <c r="E543" s="644">
        <f t="shared" si="51"/>
        <v>12000</v>
      </c>
    </row>
    <row r="544" spans="1:5">
      <c r="A544" s="643" t="s">
        <v>296</v>
      </c>
      <c r="B544" s="644">
        <v>500</v>
      </c>
      <c r="C544" s="644"/>
      <c r="D544" s="644"/>
      <c r="E544" s="644">
        <f t="shared" si="51"/>
        <v>500</v>
      </c>
    </row>
    <row r="545" spans="1:5">
      <c r="A545" s="643" t="s">
        <v>606</v>
      </c>
      <c r="B545" s="644">
        <v>10000</v>
      </c>
      <c r="C545" s="644">
        <v>-4000</v>
      </c>
      <c r="D545" s="644"/>
      <c r="E545" s="644">
        <f t="shared" si="51"/>
        <v>6000</v>
      </c>
    </row>
    <row r="546" spans="1:5">
      <c r="A546" s="643" t="s">
        <v>297</v>
      </c>
      <c r="B546" s="644">
        <v>300</v>
      </c>
      <c r="C546" s="644"/>
      <c r="D546" s="644">
        <v>3000</v>
      </c>
      <c r="E546" s="644">
        <f t="shared" si="51"/>
        <v>3300</v>
      </c>
    </row>
    <row r="547" spans="1:5">
      <c r="A547" s="641" t="s">
        <v>287</v>
      </c>
      <c r="B547" s="642">
        <f>SUM(B548:B551)</f>
        <v>19400</v>
      </c>
      <c r="C547" s="642">
        <f>SUM(C548:C551)</f>
        <v>0</v>
      </c>
      <c r="D547" s="642">
        <f>SUM(D548:D551)</f>
        <v>-400</v>
      </c>
      <c r="E547" s="642">
        <f t="shared" si="51"/>
        <v>19000</v>
      </c>
    </row>
    <row r="548" spans="1:5">
      <c r="A548" s="645" t="s">
        <v>9</v>
      </c>
      <c r="B548" s="646">
        <v>100</v>
      </c>
      <c r="C548" s="646"/>
      <c r="D548" s="646"/>
      <c r="E548" s="646">
        <f t="shared" si="51"/>
        <v>100</v>
      </c>
    </row>
    <row r="549" spans="1:5">
      <c r="A549" s="645" t="s">
        <v>300</v>
      </c>
      <c r="B549" s="646">
        <v>18100</v>
      </c>
      <c r="C549" s="646"/>
      <c r="D549" s="646"/>
      <c r="E549" s="646">
        <f t="shared" si="51"/>
        <v>18100</v>
      </c>
    </row>
    <row r="550" spans="1:5">
      <c r="A550" s="645" t="s">
        <v>34</v>
      </c>
      <c r="B550" s="646">
        <v>200</v>
      </c>
      <c r="C550" s="646"/>
      <c r="D550" s="646"/>
      <c r="E550" s="646">
        <f t="shared" si="51"/>
        <v>200</v>
      </c>
    </row>
    <row r="551" spans="1:5">
      <c r="A551" s="645" t="s">
        <v>298</v>
      </c>
      <c r="B551" s="646">
        <v>1000</v>
      </c>
      <c r="C551" s="646"/>
      <c r="D551" s="646">
        <v>-400</v>
      </c>
      <c r="E551" s="646">
        <f t="shared" si="51"/>
        <v>600</v>
      </c>
    </row>
    <row r="552" spans="1:5">
      <c r="A552" s="645"/>
      <c r="B552" s="646"/>
      <c r="C552" s="646"/>
      <c r="D552" s="646"/>
      <c r="E552" s="646">
        <f t="shared" si="51"/>
        <v>0</v>
      </c>
    </row>
    <row r="553" spans="1:5">
      <c r="A553" s="639" t="s">
        <v>104</v>
      </c>
      <c r="B553" s="640">
        <f>B555+B569</f>
        <v>249450</v>
      </c>
      <c r="C553" s="640"/>
      <c r="D553" s="640">
        <f>D555+D569</f>
        <v>24565</v>
      </c>
      <c r="E553" s="640">
        <f t="shared" si="51"/>
        <v>274015</v>
      </c>
    </row>
    <row r="554" spans="1:5">
      <c r="A554" s="647"/>
      <c r="B554" s="648"/>
      <c r="C554" s="648"/>
      <c r="D554" s="648"/>
      <c r="E554" s="648">
        <f t="shared" si="51"/>
        <v>0</v>
      </c>
    </row>
    <row r="555" spans="1:5">
      <c r="A555" s="641" t="s">
        <v>105</v>
      </c>
      <c r="B555" s="642">
        <f>B556+B559+B562+B565</f>
        <v>223250</v>
      </c>
      <c r="C555" s="642"/>
      <c r="D555" s="642">
        <f>D556+D559+D562+D565</f>
        <v>20075</v>
      </c>
      <c r="E555" s="642">
        <f t="shared" si="51"/>
        <v>243325</v>
      </c>
    </row>
    <row r="556" spans="1:5">
      <c r="A556" s="641" t="s">
        <v>316</v>
      </c>
      <c r="B556" s="642">
        <f>SUM(B557:B558)</f>
        <v>30550</v>
      </c>
      <c r="C556" s="642"/>
      <c r="D556" s="642">
        <f>SUM(D557:D558)</f>
        <v>-2000</v>
      </c>
      <c r="E556" s="642">
        <f t="shared" si="51"/>
        <v>28550</v>
      </c>
    </row>
    <row r="557" spans="1:5">
      <c r="A557" s="643" t="s">
        <v>317</v>
      </c>
      <c r="B557" s="644">
        <v>13800</v>
      </c>
      <c r="C557" s="644"/>
      <c r="D557" s="644">
        <v>-200</v>
      </c>
      <c r="E557" s="644">
        <f t="shared" si="51"/>
        <v>13600</v>
      </c>
    </row>
    <row r="558" spans="1:5">
      <c r="A558" s="643" t="s">
        <v>273</v>
      </c>
      <c r="B558" s="644">
        <v>16750</v>
      </c>
      <c r="C558" s="644"/>
      <c r="D558" s="644">
        <v>-1800</v>
      </c>
      <c r="E558" s="644">
        <f t="shared" si="51"/>
        <v>14950</v>
      </c>
    </row>
    <row r="559" spans="1:5">
      <c r="A559" s="641" t="s">
        <v>271</v>
      </c>
      <c r="B559" s="642">
        <f>SUM(B560:B561)</f>
        <v>26010</v>
      </c>
      <c r="C559" s="642"/>
      <c r="D559" s="642">
        <f>SUM(D560:D561)</f>
        <v>0</v>
      </c>
      <c r="E559" s="642">
        <f t="shared" si="51"/>
        <v>26010</v>
      </c>
    </row>
    <row r="560" spans="1:5">
      <c r="A560" s="643" t="s">
        <v>272</v>
      </c>
      <c r="B560" s="644">
        <v>24510</v>
      </c>
      <c r="C560" s="644"/>
      <c r="D560" s="644"/>
      <c r="E560" s="644">
        <f t="shared" si="51"/>
        <v>24510</v>
      </c>
    </row>
    <row r="561" spans="1:5">
      <c r="A561" s="643" t="s">
        <v>273</v>
      </c>
      <c r="B561" s="644">
        <v>1500</v>
      </c>
      <c r="C561" s="644"/>
      <c r="D561" s="644"/>
      <c r="E561" s="644">
        <f t="shared" si="51"/>
        <v>1500</v>
      </c>
    </row>
    <row r="562" spans="1:5">
      <c r="A562" s="641" t="s">
        <v>311</v>
      </c>
      <c r="B562" s="642">
        <f>B563</f>
        <v>20800</v>
      </c>
      <c r="C562" s="642"/>
      <c r="D562" s="642">
        <f>D563+D564</f>
        <v>12175</v>
      </c>
      <c r="E562" s="642">
        <f t="shared" si="51"/>
        <v>32975</v>
      </c>
    </row>
    <row r="563" spans="1:5">
      <c r="A563" s="645" t="s">
        <v>337</v>
      </c>
      <c r="B563" s="646">
        <v>20800</v>
      </c>
      <c r="C563" s="646"/>
      <c r="D563" s="646">
        <v>7350</v>
      </c>
      <c r="E563" s="646">
        <f t="shared" si="51"/>
        <v>28150</v>
      </c>
    </row>
    <row r="564" spans="1:5">
      <c r="A564" s="645" t="s">
        <v>1107</v>
      </c>
      <c r="B564" s="646"/>
      <c r="C564" s="646"/>
      <c r="D564" s="646">
        <v>4825</v>
      </c>
      <c r="E564" s="646">
        <f t="shared" si="51"/>
        <v>4825</v>
      </c>
    </row>
    <row r="565" spans="1:5">
      <c r="A565" s="641" t="s">
        <v>275</v>
      </c>
      <c r="B565" s="642">
        <f>SUM(B566:B567)</f>
        <v>145890</v>
      </c>
      <c r="C565" s="642"/>
      <c r="D565" s="642">
        <f>SUM(D566:D567)</f>
        <v>9900</v>
      </c>
      <c r="E565" s="642">
        <f t="shared" si="51"/>
        <v>155790</v>
      </c>
    </row>
    <row r="566" spans="1:5">
      <c r="A566" s="643" t="s">
        <v>6</v>
      </c>
      <c r="B566" s="644">
        <v>140390</v>
      </c>
      <c r="C566" s="644"/>
      <c r="D566" s="644">
        <v>9900</v>
      </c>
      <c r="E566" s="644">
        <f t="shared" si="51"/>
        <v>150290</v>
      </c>
    </row>
    <row r="567" spans="1:5">
      <c r="A567" s="645" t="s">
        <v>106</v>
      </c>
      <c r="B567" s="646">
        <v>5500</v>
      </c>
      <c r="C567" s="646"/>
      <c r="D567" s="646"/>
      <c r="E567" s="646">
        <f t="shared" si="51"/>
        <v>5500</v>
      </c>
    </row>
    <row r="568" spans="1:5">
      <c r="A568" s="641"/>
      <c r="B568" s="642"/>
      <c r="C568" s="642"/>
      <c r="D568" s="642"/>
      <c r="E568" s="642">
        <f t="shared" si="51"/>
        <v>0</v>
      </c>
    </row>
    <row r="569" spans="1:5">
      <c r="A569" s="198" t="s">
        <v>1108</v>
      </c>
      <c r="B569" s="642">
        <f>B570</f>
        <v>26200</v>
      </c>
      <c r="C569" s="642"/>
      <c r="D569" s="642">
        <f>D570+D574</f>
        <v>4490</v>
      </c>
      <c r="E569" s="642">
        <f t="shared" si="51"/>
        <v>30690</v>
      </c>
    </row>
    <row r="570" spans="1:5">
      <c r="A570" s="641" t="s">
        <v>322</v>
      </c>
      <c r="B570" s="642">
        <f>SUM(B571:B573)</f>
        <v>26200</v>
      </c>
      <c r="C570" s="642"/>
      <c r="D570" s="642">
        <f>SUM(D571:D573)</f>
        <v>1200</v>
      </c>
      <c r="E570" s="642">
        <f t="shared" si="51"/>
        <v>27400</v>
      </c>
    </row>
    <row r="571" spans="1:5">
      <c r="A571" s="645" t="s">
        <v>280</v>
      </c>
      <c r="B571" s="646">
        <v>11000</v>
      </c>
      <c r="C571" s="646"/>
      <c r="D571" s="646">
        <v>900</v>
      </c>
      <c r="E571" s="646">
        <f t="shared" si="51"/>
        <v>11900</v>
      </c>
    </row>
    <row r="572" spans="1:5">
      <c r="A572" s="649" t="s">
        <v>324</v>
      </c>
      <c r="B572" s="650">
        <v>11000</v>
      </c>
      <c r="C572" s="650"/>
      <c r="D572" s="650">
        <v>-200</v>
      </c>
      <c r="E572" s="650">
        <f t="shared" si="51"/>
        <v>10800</v>
      </c>
    </row>
    <row r="573" spans="1:5">
      <c r="A573" s="643" t="s">
        <v>5</v>
      </c>
      <c r="B573" s="644">
        <v>4200</v>
      </c>
      <c r="C573" s="644"/>
      <c r="D573" s="644">
        <v>500</v>
      </c>
      <c r="E573" s="644">
        <f t="shared" si="51"/>
        <v>4700</v>
      </c>
    </row>
    <row r="574" spans="1:5">
      <c r="A574" s="198" t="s">
        <v>287</v>
      </c>
      <c r="B574" s="644"/>
      <c r="C574" s="644"/>
      <c r="D574" s="644">
        <f>D575+D576</f>
        <v>3290</v>
      </c>
      <c r="E574" s="644">
        <f t="shared" si="51"/>
        <v>3290</v>
      </c>
    </row>
    <row r="575" spans="1:5">
      <c r="A575" s="197" t="s">
        <v>300</v>
      </c>
      <c r="B575" s="644"/>
      <c r="C575" s="644"/>
      <c r="D575" s="644">
        <v>100</v>
      </c>
      <c r="E575" s="644">
        <f t="shared" si="51"/>
        <v>100</v>
      </c>
    </row>
    <row r="576" spans="1:5">
      <c r="A576" s="197" t="s">
        <v>298</v>
      </c>
      <c r="B576" s="644"/>
      <c r="C576" s="644"/>
      <c r="D576" s="644">
        <v>3190</v>
      </c>
      <c r="E576" s="644">
        <f t="shared" si="51"/>
        <v>3190</v>
      </c>
    </row>
    <row r="577" spans="1:5">
      <c r="A577" s="643"/>
      <c r="B577" s="644"/>
      <c r="C577" s="644"/>
      <c r="D577" s="644"/>
      <c r="E577" s="644">
        <f t="shared" si="51"/>
        <v>0</v>
      </c>
    </row>
    <row r="578" spans="1:5">
      <c r="A578" s="645"/>
      <c r="B578" s="646"/>
      <c r="C578" s="646"/>
      <c r="D578" s="646"/>
      <c r="E578" s="646">
        <f t="shared" si="51"/>
        <v>0</v>
      </c>
    </row>
    <row r="579" spans="1:5">
      <c r="A579" s="639" t="s">
        <v>107</v>
      </c>
      <c r="B579" s="640">
        <f>B581+B595+B602+B612+B618+B624</f>
        <v>1334935</v>
      </c>
      <c r="C579" s="640">
        <f>C581+C595+C602+C612+C618+C624+C632</f>
        <v>28275</v>
      </c>
      <c r="D579" s="640">
        <f>D581+D595+D602+D612+D618+D624+D632</f>
        <v>50160</v>
      </c>
      <c r="E579" s="640">
        <f t="shared" si="51"/>
        <v>1413370</v>
      </c>
    </row>
    <row r="580" spans="1:5">
      <c r="A580" s="647"/>
      <c r="B580" s="648"/>
      <c r="C580" s="648"/>
      <c r="D580" s="648"/>
      <c r="E580" s="648">
        <f t="shared" ref="E580:E643" si="52">SUM(B580:D580)</f>
        <v>0</v>
      </c>
    </row>
    <row r="581" spans="1:5">
      <c r="A581" s="641" t="s">
        <v>108</v>
      </c>
      <c r="B581" s="642">
        <f>B582+B585+B588+B592</f>
        <v>964595</v>
      </c>
      <c r="C581" s="642">
        <f>C582+C585+C588+C592</f>
        <v>500</v>
      </c>
      <c r="D581" s="642">
        <f>D582+D585+D588+D592</f>
        <v>19620</v>
      </c>
      <c r="E581" s="642">
        <f t="shared" si="52"/>
        <v>984715</v>
      </c>
    </row>
    <row r="582" spans="1:5">
      <c r="A582" s="641" t="s">
        <v>316</v>
      </c>
      <c r="B582" s="642">
        <f>SUM(B583:B584)</f>
        <v>513800</v>
      </c>
      <c r="C582" s="642">
        <f>SUM(C583:C584)</f>
        <v>0</v>
      </c>
      <c r="D582" s="642">
        <f>SUM(D583:D584)</f>
        <v>0</v>
      </c>
      <c r="E582" s="642">
        <f t="shared" si="52"/>
        <v>513800</v>
      </c>
    </row>
    <row r="583" spans="1:5">
      <c r="A583" s="643" t="s">
        <v>317</v>
      </c>
      <c r="B583" s="644">
        <v>179800</v>
      </c>
      <c r="C583" s="644"/>
      <c r="D583" s="644"/>
      <c r="E583" s="644">
        <f t="shared" si="52"/>
        <v>179800</v>
      </c>
    </row>
    <row r="584" spans="1:5">
      <c r="A584" s="643" t="s">
        <v>273</v>
      </c>
      <c r="B584" s="644">
        <v>334000</v>
      </c>
      <c r="C584" s="644"/>
      <c r="D584" s="644"/>
      <c r="E584" s="644">
        <f t="shared" si="52"/>
        <v>334000</v>
      </c>
    </row>
    <row r="585" spans="1:5">
      <c r="A585" s="641" t="s">
        <v>271</v>
      </c>
      <c r="B585" s="642">
        <f>SUM(B586:B587)</f>
        <v>142875</v>
      </c>
      <c r="C585" s="642">
        <f>SUM(C586:C587)</f>
        <v>0</v>
      </c>
      <c r="D585" s="642">
        <f>SUM(D586:D587)</f>
        <v>-4520</v>
      </c>
      <c r="E585" s="642">
        <f t="shared" si="52"/>
        <v>138355</v>
      </c>
    </row>
    <row r="586" spans="1:5">
      <c r="A586" s="643" t="s">
        <v>272</v>
      </c>
      <c r="B586" s="644">
        <v>104375</v>
      </c>
      <c r="C586" s="644"/>
      <c r="D586" s="644">
        <v>-8020</v>
      </c>
      <c r="E586" s="644">
        <f t="shared" si="52"/>
        <v>96355</v>
      </c>
    </row>
    <row r="587" spans="1:5">
      <c r="A587" s="643" t="s">
        <v>273</v>
      </c>
      <c r="B587" s="644">
        <v>38500</v>
      </c>
      <c r="C587" s="644"/>
      <c r="D587" s="644">
        <v>3500</v>
      </c>
      <c r="E587" s="644">
        <f t="shared" si="52"/>
        <v>42000</v>
      </c>
    </row>
    <row r="588" spans="1:5">
      <c r="A588" s="641" t="s">
        <v>311</v>
      </c>
      <c r="B588" s="642">
        <f>SUM(B589:B591)</f>
        <v>183150</v>
      </c>
      <c r="C588" s="642">
        <f>SUM(C589:C591)</f>
        <v>500</v>
      </c>
      <c r="D588" s="642">
        <f>SUM(D589:D591)</f>
        <v>6710</v>
      </c>
      <c r="E588" s="642">
        <f t="shared" si="52"/>
        <v>190360</v>
      </c>
    </row>
    <row r="589" spans="1:5">
      <c r="A589" s="645" t="s">
        <v>337</v>
      </c>
      <c r="B589" s="646">
        <v>93000</v>
      </c>
      <c r="C589" s="646"/>
      <c r="D589" s="646">
        <v>2170</v>
      </c>
      <c r="E589" s="646">
        <f t="shared" si="52"/>
        <v>95170</v>
      </c>
    </row>
    <row r="590" spans="1:5">
      <c r="A590" s="645" t="s">
        <v>312</v>
      </c>
      <c r="B590" s="646">
        <v>90000</v>
      </c>
      <c r="C590" s="646"/>
      <c r="D590" s="646">
        <v>4540</v>
      </c>
      <c r="E590" s="646">
        <f t="shared" si="52"/>
        <v>94540</v>
      </c>
    </row>
    <row r="591" spans="1:5">
      <c r="A591" s="674" t="s">
        <v>339</v>
      </c>
      <c r="B591" s="646">
        <v>150</v>
      </c>
      <c r="C591" s="646">
        <v>500</v>
      </c>
      <c r="D591" s="646"/>
      <c r="E591" s="646">
        <f t="shared" si="52"/>
        <v>650</v>
      </c>
    </row>
    <row r="592" spans="1:5">
      <c r="A592" s="641" t="s">
        <v>275</v>
      </c>
      <c r="B592" s="642">
        <f>B593</f>
        <v>124770</v>
      </c>
      <c r="C592" s="642">
        <f>C593</f>
        <v>0</v>
      </c>
      <c r="D592" s="642">
        <f>D593</f>
        <v>17430</v>
      </c>
      <c r="E592" s="642">
        <f t="shared" si="52"/>
        <v>142200</v>
      </c>
    </row>
    <row r="593" spans="1:5">
      <c r="A593" s="643" t="s">
        <v>6</v>
      </c>
      <c r="B593" s="644">
        <v>124770</v>
      </c>
      <c r="C593" s="644"/>
      <c r="D593" s="644">
        <v>17430</v>
      </c>
      <c r="E593" s="644">
        <f t="shared" si="52"/>
        <v>142200</v>
      </c>
    </row>
    <row r="594" spans="1:5">
      <c r="A594" s="645"/>
      <c r="B594" s="646"/>
      <c r="C594" s="646"/>
      <c r="D594" s="646"/>
      <c r="E594" s="646">
        <f t="shared" si="52"/>
        <v>0</v>
      </c>
    </row>
    <row r="595" spans="1:5">
      <c r="A595" s="658" t="s">
        <v>109</v>
      </c>
      <c r="B595" s="659">
        <f>B596+B598</f>
        <v>126240</v>
      </c>
      <c r="C595" s="659">
        <f>C596+C598</f>
        <v>0</v>
      </c>
      <c r="D595" s="659">
        <f>D596+D598</f>
        <v>-12235</v>
      </c>
      <c r="E595" s="659">
        <f t="shared" si="52"/>
        <v>114005</v>
      </c>
    </row>
    <row r="596" spans="1:5">
      <c r="A596" s="641" t="s">
        <v>287</v>
      </c>
      <c r="B596" s="642">
        <f>B597</f>
        <v>69900</v>
      </c>
      <c r="C596" s="642">
        <f>C597</f>
        <v>0</v>
      </c>
      <c r="D596" s="642">
        <f>D597</f>
        <v>-9700</v>
      </c>
      <c r="E596" s="642">
        <f t="shared" si="52"/>
        <v>60200</v>
      </c>
    </row>
    <row r="597" spans="1:5">
      <c r="A597" s="643" t="s">
        <v>567</v>
      </c>
      <c r="B597" s="644">
        <v>69900</v>
      </c>
      <c r="C597" s="644"/>
      <c r="D597" s="644">
        <v>-9700</v>
      </c>
      <c r="E597" s="644">
        <f t="shared" si="52"/>
        <v>60200</v>
      </c>
    </row>
    <row r="598" spans="1:5">
      <c r="A598" s="641" t="s">
        <v>271</v>
      </c>
      <c r="B598" s="642">
        <f>SUM(B599:B600)</f>
        <v>56340</v>
      </c>
      <c r="C598" s="642">
        <f>SUM(C599:C600)</f>
        <v>0</v>
      </c>
      <c r="D598" s="642">
        <f>SUM(D599:D600)</f>
        <v>-2535</v>
      </c>
      <c r="E598" s="642">
        <f t="shared" si="52"/>
        <v>53805</v>
      </c>
    </row>
    <row r="599" spans="1:5">
      <c r="A599" s="643" t="s">
        <v>272</v>
      </c>
      <c r="B599" s="644">
        <v>46840</v>
      </c>
      <c r="C599" s="644"/>
      <c r="D599" s="644">
        <v>-1855</v>
      </c>
      <c r="E599" s="644">
        <f t="shared" si="52"/>
        <v>44985</v>
      </c>
    </row>
    <row r="600" spans="1:5">
      <c r="A600" s="643" t="s">
        <v>273</v>
      </c>
      <c r="B600" s="644">
        <v>9500</v>
      </c>
      <c r="C600" s="644"/>
      <c r="D600" s="644">
        <v>-680</v>
      </c>
      <c r="E600" s="644">
        <f t="shared" si="52"/>
        <v>8820</v>
      </c>
    </row>
    <row r="601" spans="1:5">
      <c r="A601" s="643"/>
      <c r="B601" s="644"/>
      <c r="C601" s="644"/>
      <c r="D601" s="644"/>
      <c r="E601" s="644">
        <f t="shared" si="52"/>
        <v>0</v>
      </c>
    </row>
    <row r="602" spans="1:5">
      <c r="A602" s="641" t="s">
        <v>110</v>
      </c>
      <c r="B602" s="642">
        <f>B603+B608</f>
        <v>105200</v>
      </c>
      <c r="C602" s="642">
        <f>C603+C608</f>
        <v>2500</v>
      </c>
      <c r="D602" s="642">
        <f>D603+D608</f>
        <v>19500</v>
      </c>
      <c r="E602" s="642">
        <f t="shared" si="52"/>
        <v>127200</v>
      </c>
    </row>
    <row r="603" spans="1:5">
      <c r="A603" s="641" t="s">
        <v>286</v>
      </c>
      <c r="B603" s="642">
        <f>SUM(B604:B607)</f>
        <v>51000</v>
      </c>
      <c r="C603" s="642">
        <f>SUM(C604:C607)</f>
        <v>2500</v>
      </c>
      <c r="D603" s="642">
        <f>SUM(D604:D607)</f>
        <v>14700</v>
      </c>
      <c r="E603" s="642">
        <f t="shared" si="52"/>
        <v>68200</v>
      </c>
    </row>
    <row r="604" spans="1:5">
      <c r="A604" s="643" t="s">
        <v>299</v>
      </c>
      <c r="B604" s="644">
        <v>4000</v>
      </c>
      <c r="C604" s="644">
        <v>2500</v>
      </c>
      <c r="D604" s="644">
        <v>7500</v>
      </c>
      <c r="E604" s="644">
        <f t="shared" si="52"/>
        <v>14000</v>
      </c>
    </row>
    <row r="605" spans="1:5">
      <c r="A605" s="196" t="s">
        <v>280</v>
      </c>
      <c r="B605" s="644"/>
      <c r="C605" s="644"/>
      <c r="D605" s="644">
        <v>200</v>
      </c>
      <c r="E605" s="644">
        <f t="shared" si="52"/>
        <v>200</v>
      </c>
    </row>
    <row r="606" spans="1:5">
      <c r="A606" s="645" t="s">
        <v>306</v>
      </c>
      <c r="B606" s="646">
        <v>40000</v>
      </c>
      <c r="C606" s="646"/>
      <c r="D606" s="646">
        <v>5000</v>
      </c>
      <c r="E606" s="646">
        <f t="shared" si="52"/>
        <v>45000</v>
      </c>
    </row>
    <row r="607" spans="1:5">
      <c r="A607" s="645" t="s">
        <v>296</v>
      </c>
      <c r="B607" s="646">
        <v>7000</v>
      </c>
      <c r="C607" s="646"/>
      <c r="D607" s="646">
        <v>2000</v>
      </c>
      <c r="E607" s="646">
        <f t="shared" si="52"/>
        <v>9000</v>
      </c>
    </row>
    <row r="608" spans="1:5">
      <c r="A608" s="641" t="s">
        <v>271</v>
      </c>
      <c r="B608" s="642">
        <f>SUM(B609:B610)</f>
        <v>54200</v>
      </c>
      <c r="C608" s="642">
        <f>SUM(C609:C610)</f>
        <v>0</v>
      </c>
      <c r="D608" s="642">
        <f>SUM(D609:D610)</f>
        <v>4800</v>
      </c>
      <c r="E608" s="642">
        <f t="shared" si="52"/>
        <v>59000</v>
      </c>
    </row>
    <row r="609" spans="1:5">
      <c r="A609" s="643" t="s">
        <v>272</v>
      </c>
      <c r="B609" s="644">
        <v>39000</v>
      </c>
      <c r="C609" s="644"/>
      <c r="D609" s="644">
        <v>6000</v>
      </c>
      <c r="E609" s="644">
        <f t="shared" si="52"/>
        <v>45000</v>
      </c>
    </row>
    <row r="610" spans="1:5">
      <c r="A610" s="643" t="s">
        <v>273</v>
      </c>
      <c r="B610" s="644">
        <v>15200</v>
      </c>
      <c r="C610" s="644"/>
      <c r="D610" s="644">
        <v>-1200</v>
      </c>
      <c r="E610" s="644">
        <f t="shared" si="52"/>
        <v>14000</v>
      </c>
    </row>
    <row r="611" spans="1:5">
      <c r="A611" s="643"/>
      <c r="B611" s="644"/>
      <c r="C611" s="644"/>
      <c r="D611" s="644"/>
      <c r="E611" s="644">
        <f t="shared" si="52"/>
        <v>0</v>
      </c>
    </row>
    <row r="612" spans="1:5">
      <c r="A612" s="641" t="s">
        <v>111</v>
      </c>
      <c r="B612" s="642">
        <f>B613</f>
        <v>20500</v>
      </c>
      <c r="C612" s="642">
        <f>C613</f>
        <v>2500</v>
      </c>
      <c r="D612" s="642">
        <f>D613</f>
        <v>1700</v>
      </c>
      <c r="E612" s="642">
        <f t="shared" si="52"/>
        <v>24700</v>
      </c>
    </row>
    <row r="613" spans="1:5">
      <c r="A613" s="641" t="s">
        <v>322</v>
      </c>
      <c r="B613" s="642">
        <f>SUM(B614:B616)</f>
        <v>20500</v>
      </c>
      <c r="C613" s="642">
        <f>SUM(C614:C616)</f>
        <v>2500</v>
      </c>
      <c r="D613" s="642">
        <f>SUM(D614:D616)</f>
        <v>1700</v>
      </c>
      <c r="E613" s="642">
        <f t="shared" si="52"/>
        <v>24700</v>
      </c>
    </row>
    <row r="614" spans="1:5">
      <c r="A614" s="645" t="s">
        <v>280</v>
      </c>
      <c r="B614" s="646">
        <v>4000</v>
      </c>
      <c r="C614" s="646"/>
      <c r="D614" s="646"/>
      <c r="E614" s="646">
        <f t="shared" si="52"/>
        <v>4000</v>
      </c>
    </row>
    <row r="615" spans="1:5">
      <c r="A615" s="645" t="s">
        <v>9</v>
      </c>
      <c r="B615" s="646">
        <v>4500</v>
      </c>
      <c r="C615" s="646">
        <v>500</v>
      </c>
      <c r="D615" s="646">
        <v>1700</v>
      </c>
      <c r="E615" s="646">
        <f t="shared" si="52"/>
        <v>6700</v>
      </c>
    </row>
    <row r="616" spans="1:5">
      <c r="A616" s="643" t="s">
        <v>5</v>
      </c>
      <c r="B616" s="644">
        <v>12000</v>
      </c>
      <c r="C616" s="644">
        <v>2000</v>
      </c>
      <c r="D616" s="644"/>
      <c r="E616" s="644">
        <f t="shared" si="52"/>
        <v>14000</v>
      </c>
    </row>
    <row r="617" spans="1:5">
      <c r="A617" s="643"/>
      <c r="B617" s="644"/>
      <c r="C617" s="644"/>
      <c r="D617" s="644"/>
      <c r="E617" s="644">
        <f t="shared" si="52"/>
        <v>0</v>
      </c>
    </row>
    <row r="618" spans="1:5">
      <c r="A618" s="641" t="s">
        <v>391</v>
      </c>
      <c r="B618" s="642">
        <f>B619</f>
        <v>44500</v>
      </c>
      <c r="C618" s="642">
        <f>C619</f>
        <v>20400</v>
      </c>
      <c r="D618" s="642">
        <f>D619</f>
        <v>18100</v>
      </c>
      <c r="E618" s="642">
        <f t="shared" si="52"/>
        <v>83000</v>
      </c>
    </row>
    <row r="619" spans="1:5">
      <c r="A619" s="641" t="s">
        <v>287</v>
      </c>
      <c r="B619" s="642">
        <f>B620+B621+B622</f>
        <v>44500</v>
      </c>
      <c r="C619" s="642">
        <f>C620+C621+C622</f>
        <v>20400</v>
      </c>
      <c r="D619" s="642">
        <f>D620+D621+D622</f>
        <v>18100</v>
      </c>
      <c r="E619" s="642">
        <f t="shared" si="52"/>
        <v>83000</v>
      </c>
    </row>
    <row r="620" spans="1:5">
      <c r="A620" s="645" t="s">
        <v>9</v>
      </c>
      <c r="B620" s="646">
        <f>15000+7100</f>
        <v>22100</v>
      </c>
      <c r="C620" s="646">
        <v>6400</v>
      </c>
      <c r="D620" s="646">
        <v>13000</v>
      </c>
      <c r="E620" s="646">
        <f t="shared" si="52"/>
        <v>41500</v>
      </c>
    </row>
    <row r="621" spans="1:5">
      <c r="A621" s="645" t="s">
        <v>300</v>
      </c>
      <c r="B621" s="646">
        <v>3500</v>
      </c>
      <c r="C621" s="646">
        <v>1000</v>
      </c>
      <c r="D621" s="646">
        <v>1000</v>
      </c>
      <c r="E621" s="646">
        <f t="shared" si="52"/>
        <v>5500</v>
      </c>
    </row>
    <row r="622" spans="1:5">
      <c r="A622" s="645" t="s">
        <v>298</v>
      </c>
      <c r="B622" s="646">
        <f>13000+5900</f>
        <v>18900</v>
      </c>
      <c r="C622" s="646">
        <v>13000</v>
      </c>
      <c r="D622" s="646">
        <v>4100</v>
      </c>
      <c r="E622" s="646">
        <f t="shared" si="52"/>
        <v>36000</v>
      </c>
    </row>
    <row r="623" spans="1:5">
      <c r="A623" s="645"/>
      <c r="B623" s="646"/>
      <c r="C623" s="646"/>
      <c r="D623" s="646"/>
      <c r="E623" s="646">
        <f t="shared" si="52"/>
        <v>0</v>
      </c>
    </row>
    <row r="624" spans="1:5">
      <c r="A624" s="641" t="s">
        <v>540</v>
      </c>
      <c r="B624" s="642">
        <f>B625+B628</f>
        <v>73900</v>
      </c>
      <c r="C624" s="642">
        <f>C625+C628</f>
        <v>0</v>
      </c>
      <c r="D624" s="642">
        <f>D625+D628</f>
        <v>4425</v>
      </c>
      <c r="E624" s="642">
        <f t="shared" si="52"/>
        <v>78325</v>
      </c>
    </row>
    <row r="625" spans="1:5">
      <c r="A625" s="658" t="s">
        <v>275</v>
      </c>
      <c r="B625" s="659">
        <f>B626+B627</f>
        <v>66400</v>
      </c>
      <c r="C625" s="659">
        <f>C626+C627</f>
        <v>2100</v>
      </c>
      <c r="D625" s="659">
        <f>D626+D627</f>
        <v>6000</v>
      </c>
      <c r="E625" s="659">
        <f t="shared" si="52"/>
        <v>74500</v>
      </c>
    </row>
    <row r="626" spans="1:5">
      <c r="A626" s="643" t="s">
        <v>299</v>
      </c>
      <c r="B626" s="644">
        <v>59400</v>
      </c>
      <c r="C626" s="644">
        <v>2100</v>
      </c>
      <c r="D626" s="644">
        <v>7000</v>
      </c>
      <c r="E626" s="644">
        <f t="shared" si="52"/>
        <v>68500</v>
      </c>
    </row>
    <row r="627" spans="1:5">
      <c r="A627" s="645" t="s">
        <v>511</v>
      </c>
      <c r="B627" s="646">
        <v>7000</v>
      </c>
      <c r="C627" s="646"/>
      <c r="D627" s="646">
        <v>-1000</v>
      </c>
      <c r="E627" s="646">
        <f t="shared" si="52"/>
        <v>6000</v>
      </c>
    </row>
    <row r="628" spans="1:5">
      <c r="A628" s="641" t="s">
        <v>271</v>
      </c>
      <c r="B628" s="642">
        <f>B629+B630</f>
        <v>7500</v>
      </c>
      <c r="C628" s="642">
        <f>C629+C630</f>
        <v>-2100</v>
      </c>
      <c r="D628" s="642">
        <f>D629+D630</f>
        <v>-1575</v>
      </c>
      <c r="E628" s="642">
        <f t="shared" si="52"/>
        <v>3825</v>
      </c>
    </row>
    <row r="629" spans="1:5">
      <c r="A629" s="643" t="s">
        <v>272</v>
      </c>
      <c r="B629" s="644">
        <v>6528</v>
      </c>
      <c r="C629" s="644">
        <v>-2100</v>
      </c>
      <c r="D629" s="644">
        <v>-1438</v>
      </c>
      <c r="E629" s="644">
        <f t="shared" si="52"/>
        <v>2990</v>
      </c>
    </row>
    <row r="630" spans="1:5">
      <c r="A630" s="643" t="s">
        <v>273</v>
      </c>
      <c r="B630" s="644">
        <v>972</v>
      </c>
      <c r="C630" s="644"/>
      <c r="D630" s="644">
        <v>-137</v>
      </c>
      <c r="E630" s="644">
        <f t="shared" si="52"/>
        <v>835</v>
      </c>
    </row>
    <row r="631" spans="1:5">
      <c r="A631" s="643"/>
      <c r="B631" s="644"/>
      <c r="C631" s="644"/>
      <c r="D631" s="644"/>
      <c r="E631" s="644">
        <f t="shared" si="52"/>
        <v>0</v>
      </c>
    </row>
    <row r="632" spans="1:5">
      <c r="A632" s="641" t="s">
        <v>742</v>
      </c>
      <c r="B632" s="644"/>
      <c r="C632" s="644">
        <f>C633</f>
        <v>2375</v>
      </c>
      <c r="D632" s="644">
        <f>D633+D639</f>
        <v>-950</v>
      </c>
      <c r="E632" s="644">
        <f t="shared" si="52"/>
        <v>1425</v>
      </c>
    </row>
    <row r="633" spans="1:5">
      <c r="A633" s="641" t="s">
        <v>322</v>
      </c>
      <c r="B633" s="644"/>
      <c r="C633" s="644">
        <f>C635+C636</f>
        <v>2375</v>
      </c>
      <c r="D633" s="644">
        <f>D635+D636+D634+D637+D638</f>
        <v>-950</v>
      </c>
      <c r="E633" s="644">
        <f t="shared" si="52"/>
        <v>1425</v>
      </c>
    </row>
    <row r="634" spans="1:5">
      <c r="A634" s="196" t="s">
        <v>324</v>
      </c>
      <c r="B634" s="644"/>
      <c r="C634" s="644"/>
      <c r="D634" s="644">
        <v>171</v>
      </c>
      <c r="E634" s="644">
        <f t="shared" si="52"/>
        <v>171</v>
      </c>
    </row>
    <row r="635" spans="1:5">
      <c r="A635" s="645" t="s">
        <v>280</v>
      </c>
      <c r="B635" s="644"/>
      <c r="C635" s="644">
        <v>631</v>
      </c>
      <c r="D635" s="644">
        <v>-531</v>
      </c>
      <c r="E635" s="644">
        <f t="shared" si="52"/>
        <v>100</v>
      </c>
    </row>
    <row r="636" spans="1:5">
      <c r="A636" s="643" t="s">
        <v>114</v>
      </c>
      <c r="B636" s="644"/>
      <c r="C636" s="644">
        <v>1744</v>
      </c>
      <c r="D636" s="644">
        <v>-1744</v>
      </c>
      <c r="E636" s="644">
        <f t="shared" si="52"/>
        <v>0</v>
      </c>
    </row>
    <row r="637" spans="1:5">
      <c r="A637" s="196" t="s">
        <v>329</v>
      </c>
      <c r="B637" s="644"/>
      <c r="C637" s="644"/>
      <c r="D637" s="644">
        <v>754</v>
      </c>
      <c r="E637" s="644">
        <f t="shared" si="52"/>
        <v>754</v>
      </c>
    </row>
    <row r="638" spans="1:5">
      <c r="A638" s="196" t="s">
        <v>1109</v>
      </c>
      <c r="B638" s="644"/>
      <c r="C638" s="644"/>
      <c r="D638" s="644">
        <v>400</v>
      </c>
      <c r="E638" s="644">
        <f t="shared" si="52"/>
        <v>400</v>
      </c>
    </row>
    <row r="639" spans="1:5">
      <c r="A639" s="641" t="s">
        <v>287</v>
      </c>
      <c r="B639" s="644"/>
      <c r="C639" s="644"/>
      <c r="D639" s="644"/>
      <c r="E639" s="644">
        <f t="shared" si="52"/>
        <v>0</v>
      </c>
    </row>
    <row r="640" spans="1:5">
      <c r="A640" s="645" t="s">
        <v>298</v>
      </c>
      <c r="B640" s="644"/>
      <c r="C640" s="644"/>
      <c r="D640" s="644"/>
      <c r="E640" s="644">
        <f t="shared" si="52"/>
        <v>0</v>
      </c>
    </row>
    <row r="641" spans="1:5">
      <c r="A641" s="643"/>
      <c r="B641" s="644"/>
      <c r="C641" s="644"/>
      <c r="D641" s="644"/>
      <c r="E641" s="644">
        <f t="shared" si="52"/>
        <v>0</v>
      </c>
    </row>
    <row r="642" spans="1:5">
      <c r="A642" s="641"/>
      <c r="B642" s="642"/>
      <c r="C642" s="642"/>
      <c r="D642" s="644"/>
      <c r="E642" s="642">
        <f t="shared" si="52"/>
        <v>0</v>
      </c>
    </row>
    <row r="643" spans="1:5">
      <c r="A643" s="639" t="s">
        <v>112</v>
      </c>
      <c r="B643" s="640">
        <f>B645+B660+B673</f>
        <v>700100</v>
      </c>
      <c r="C643" s="640">
        <f>C645+C660+C673</f>
        <v>8900</v>
      </c>
      <c r="D643" s="640">
        <f>D645+D660+D673</f>
        <v>-315</v>
      </c>
      <c r="E643" s="640">
        <f t="shared" si="52"/>
        <v>708685</v>
      </c>
    </row>
    <row r="644" spans="1:5">
      <c r="A644" s="647"/>
      <c r="B644" s="648"/>
      <c r="C644" s="648"/>
      <c r="D644" s="648"/>
      <c r="E644" s="648">
        <f t="shared" ref="E644:E707" si="53">SUM(B644:D644)</f>
        <v>0</v>
      </c>
    </row>
    <row r="645" spans="1:5">
      <c r="A645" s="641" t="s">
        <v>113</v>
      </c>
      <c r="B645" s="642">
        <f>B646+B649+B652+B656</f>
        <v>584240</v>
      </c>
      <c r="C645" s="642">
        <f>C646+C649+C652+C656</f>
        <v>3400</v>
      </c>
      <c r="D645" s="642">
        <f>D646+D649+D652+D656</f>
        <v>-315</v>
      </c>
      <c r="E645" s="642">
        <f t="shared" si="53"/>
        <v>587325</v>
      </c>
    </row>
    <row r="646" spans="1:5">
      <c r="A646" s="641" t="s">
        <v>316</v>
      </c>
      <c r="B646" s="642">
        <f>SUM(B647:B648)</f>
        <v>50200</v>
      </c>
      <c r="C646" s="642">
        <f>SUM(C647:C648)</f>
        <v>0</v>
      </c>
      <c r="D646" s="642">
        <f>SUM(D647:D648)</f>
        <v>-7215</v>
      </c>
      <c r="E646" s="642">
        <f t="shared" si="53"/>
        <v>42985</v>
      </c>
    </row>
    <row r="647" spans="1:5">
      <c r="A647" s="643" t="s">
        <v>317</v>
      </c>
      <c r="B647" s="644">
        <v>19300</v>
      </c>
      <c r="C647" s="644"/>
      <c r="D647" s="644"/>
      <c r="E647" s="644">
        <f t="shared" si="53"/>
        <v>19300</v>
      </c>
    </row>
    <row r="648" spans="1:5">
      <c r="A648" s="643" t="s">
        <v>273</v>
      </c>
      <c r="B648" s="644">
        <v>30900</v>
      </c>
      <c r="C648" s="644"/>
      <c r="D648" s="644">
        <v>-7215</v>
      </c>
      <c r="E648" s="644">
        <f t="shared" si="53"/>
        <v>23685</v>
      </c>
    </row>
    <row r="649" spans="1:5">
      <c r="A649" s="641" t="s">
        <v>271</v>
      </c>
      <c r="B649" s="642">
        <f>SUM(B650:B651)</f>
        <v>312440</v>
      </c>
      <c r="C649" s="642">
        <f>SUM(C650:C651)</f>
        <v>0</v>
      </c>
      <c r="D649" s="642">
        <f>SUM(D650:D651)</f>
        <v>0</v>
      </c>
      <c r="E649" s="642">
        <f t="shared" si="53"/>
        <v>312440</v>
      </c>
    </row>
    <row r="650" spans="1:5">
      <c r="A650" s="643" t="s">
        <v>272</v>
      </c>
      <c r="B650" s="644">
        <v>230240</v>
      </c>
      <c r="C650" s="644"/>
      <c r="D650" s="644"/>
      <c r="E650" s="644">
        <f t="shared" si="53"/>
        <v>230240</v>
      </c>
    </row>
    <row r="651" spans="1:5">
      <c r="A651" s="643" t="s">
        <v>273</v>
      </c>
      <c r="B651" s="644">
        <v>82200</v>
      </c>
      <c r="C651" s="644"/>
      <c r="D651" s="644"/>
      <c r="E651" s="644">
        <f t="shared" si="53"/>
        <v>82200</v>
      </c>
    </row>
    <row r="652" spans="1:5">
      <c r="A652" s="658" t="s">
        <v>275</v>
      </c>
      <c r="B652" s="659">
        <f>SUM(B653:B655)</f>
        <v>87200</v>
      </c>
      <c r="C652" s="659">
        <f>SUM(C653:C655)</f>
        <v>0</v>
      </c>
      <c r="D652" s="659">
        <f>SUM(D653:D655)</f>
        <v>6000</v>
      </c>
      <c r="E652" s="659">
        <f t="shared" si="53"/>
        <v>93200</v>
      </c>
    </row>
    <row r="653" spans="1:5">
      <c r="A653" s="645" t="s">
        <v>277</v>
      </c>
      <c r="B653" s="646">
        <v>2200</v>
      </c>
      <c r="C653" s="646"/>
      <c r="D653" s="646"/>
      <c r="E653" s="646">
        <f t="shared" si="53"/>
        <v>2200</v>
      </c>
    </row>
    <row r="654" spans="1:5">
      <c r="A654" s="643" t="s">
        <v>6</v>
      </c>
      <c r="B654" s="644">
        <f>69270+1730</f>
        <v>71000</v>
      </c>
      <c r="C654" s="644"/>
      <c r="D654" s="644"/>
      <c r="E654" s="644">
        <f t="shared" si="53"/>
        <v>71000</v>
      </c>
    </row>
    <row r="655" spans="1:5">
      <c r="A655" s="645" t="s">
        <v>313</v>
      </c>
      <c r="B655" s="646">
        <v>14000</v>
      </c>
      <c r="C655" s="646"/>
      <c r="D655" s="646">
        <v>6000</v>
      </c>
      <c r="E655" s="646">
        <f t="shared" si="53"/>
        <v>20000</v>
      </c>
    </row>
    <row r="656" spans="1:5">
      <c r="A656" s="641" t="s">
        <v>311</v>
      </c>
      <c r="B656" s="642">
        <f>SUM(B657:B658)</f>
        <v>134400</v>
      </c>
      <c r="C656" s="642">
        <f>SUM(C657:C658)</f>
        <v>3400</v>
      </c>
      <c r="D656" s="642">
        <f>SUM(D657:D658)</f>
        <v>900</v>
      </c>
      <c r="E656" s="642">
        <f t="shared" si="53"/>
        <v>138700</v>
      </c>
    </row>
    <row r="657" spans="1:5">
      <c r="A657" s="645" t="s">
        <v>337</v>
      </c>
      <c r="B657" s="646">
        <v>76800</v>
      </c>
      <c r="C657" s="646"/>
      <c r="D657" s="646"/>
      <c r="E657" s="646">
        <f t="shared" si="53"/>
        <v>76800</v>
      </c>
    </row>
    <row r="658" spans="1:5">
      <c r="A658" s="645" t="s">
        <v>312</v>
      </c>
      <c r="B658" s="646">
        <v>57600</v>
      </c>
      <c r="C658" s="646">
        <v>3400</v>
      </c>
      <c r="D658" s="646">
        <v>900</v>
      </c>
      <c r="E658" s="646">
        <f t="shared" si="53"/>
        <v>61900</v>
      </c>
    </row>
    <row r="659" spans="1:5">
      <c r="A659" s="645"/>
      <c r="B659" s="646"/>
      <c r="C659" s="646"/>
      <c r="D659" s="646"/>
      <c r="E659" s="646">
        <f t="shared" si="53"/>
        <v>0</v>
      </c>
    </row>
    <row r="660" spans="1:5">
      <c r="A660" s="641" t="s">
        <v>665</v>
      </c>
      <c r="B660" s="642">
        <f>B661+B668+B666</f>
        <v>55860</v>
      </c>
      <c r="C660" s="642">
        <f>C661+C668+C666</f>
        <v>2000</v>
      </c>
      <c r="D660" s="642">
        <f>D661+D668+D666</f>
        <v>0</v>
      </c>
      <c r="E660" s="642">
        <f t="shared" si="53"/>
        <v>57860</v>
      </c>
    </row>
    <row r="661" spans="1:5">
      <c r="A661" s="641" t="s">
        <v>286</v>
      </c>
      <c r="B661" s="642">
        <f>SUM(B662:B665)</f>
        <v>48885</v>
      </c>
      <c r="C661" s="642">
        <f>SUM(C662:C665)</f>
        <v>2000</v>
      </c>
      <c r="D661" s="642">
        <f>SUM(D662:D665)</f>
        <v>0</v>
      </c>
      <c r="E661" s="642">
        <f t="shared" si="53"/>
        <v>50885</v>
      </c>
    </row>
    <row r="662" spans="1:5">
      <c r="A662" s="643" t="s">
        <v>299</v>
      </c>
      <c r="B662" s="644">
        <v>13000</v>
      </c>
      <c r="C662" s="644">
        <v>2000</v>
      </c>
      <c r="D662" s="644"/>
      <c r="E662" s="644">
        <f t="shared" si="53"/>
        <v>15000</v>
      </c>
    </row>
    <row r="663" spans="1:5">
      <c r="A663" s="645" t="s">
        <v>306</v>
      </c>
      <c r="B663" s="646">
        <f>24885+10000</f>
        <v>34885</v>
      </c>
      <c r="C663" s="646"/>
      <c r="D663" s="646"/>
      <c r="E663" s="646">
        <f t="shared" si="53"/>
        <v>34885</v>
      </c>
    </row>
    <row r="664" spans="1:5">
      <c r="A664" s="645" t="s">
        <v>296</v>
      </c>
      <c r="B664" s="646">
        <v>500</v>
      </c>
      <c r="C664" s="646"/>
      <c r="D664" s="646"/>
      <c r="E664" s="646">
        <f t="shared" si="53"/>
        <v>500</v>
      </c>
    </row>
    <row r="665" spans="1:5">
      <c r="A665" s="643" t="s">
        <v>297</v>
      </c>
      <c r="B665" s="644">
        <v>500</v>
      </c>
      <c r="C665" s="644"/>
      <c r="D665" s="644"/>
      <c r="E665" s="644">
        <f t="shared" si="53"/>
        <v>500</v>
      </c>
    </row>
    <row r="666" spans="1:5">
      <c r="A666" s="641" t="s">
        <v>275</v>
      </c>
      <c r="B666" s="642">
        <f>B667</f>
        <v>500</v>
      </c>
      <c r="C666" s="642">
        <f>C667</f>
        <v>0</v>
      </c>
      <c r="D666" s="642">
        <f>D667</f>
        <v>0</v>
      </c>
      <c r="E666" s="642">
        <f t="shared" si="53"/>
        <v>500</v>
      </c>
    </row>
    <row r="667" spans="1:5">
      <c r="A667" s="643" t="s">
        <v>304</v>
      </c>
      <c r="B667" s="644">
        <v>500</v>
      </c>
      <c r="C667" s="644"/>
      <c r="D667" s="644"/>
      <c r="E667" s="644">
        <f t="shared" si="53"/>
        <v>500</v>
      </c>
    </row>
    <row r="668" spans="1:5">
      <c r="A668" s="641" t="s">
        <v>287</v>
      </c>
      <c r="B668" s="642">
        <f>SUM(B669:B671)</f>
        <v>6475</v>
      </c>
      <c r="C668" s="642">
        <f>SUM(C669:C671)</f>
        <v>0</v>
      </c>
      <c r="D668" s="642">
        <f>SUM(D669:D671)</f>
        <v>0</v>
      </c>
      <c r="E668" s="642">
        <f t="shared" si="53"/>
        <v>6475</v>
      </c>
    </row>
    <row r="669" spans="1:5">
      <c r="A669" s="643" t="s">
        <v>298</v>
      </c>
      <c r="B669" s="644">
        <v>4200</v>
      </c>
      <c r="C669" s="644"/>
      <c r="D669" s="644"/>
      <c r="E669" s="644">
        <f t="shared" si="53"/>
        <v>4200</v>
      </c>
    </row>
    <row r="670" spans="1:5">
      <c r="A670" s="643" t="s">
        <v>34</v>
      </c>
      <c r="B670" s="644">
        <v>75</v>
      </c>
      <c r="C670" s="644"/>
      <c r="D670" s="644"/>
      <c r="E670" s="644">
        <f t="shared" si="53"/>
        <v>75</v>
      </c>
    </row>
    <row r="671" spans="1:5">
      <c r="A671" s="643" t="s">
        <v>300</v>
      </c>
      <c r="B671" s="644">
        <v>2200</v>
      </c>
      <c r="C671" s="644"/>
      <c r="D671" s="644"/>
      <c r="E671" s="644">
        <f t="shared" si="53"/>
        <v>2200</v>
      </c>
    </row>
    <row r="672" spans="1:5">
      <c r="A672" s="643"/>
      <c r="B672" s="644"/>
      <c r="C672" s="644"/>
      <c r="D672" s="644"/>
      <c r="E672" s="644">
        <f t="shared" si="53"/>
        <v>0</v>
      </c>
    </row>
    <row r="673" spans="1:5">
      <c r="A673" s="641" t="s">
        <v>554</v>
      </c>
      <c r="B673" s="642">
        <f>B674</f>
        <v>60000</v>
      </c>
      <c r="C673" s="642">
        <f>C674</f>
        <v>3500</v>
      </c>
      <c r="D673" s="642">
        <f>D674</f>
        <v>0</v>
      </c>
      <c r="E673" s="642">
        <f t="shared" si="53"/>
        <v>63500</v>
      </c>
    </row>
    <row r="674" spans="1:5">
      <c r="A674" s="641" t="s">
        <v>322</v>
      </c>
      <c r="B674" s="642">
        <f>SUM(B675:B680)</f>
        <v>60000</v>
      </c>
      <c r="C674" s="642">
        <f>SUM(C675:C680)</f>
        <v>3500</v>
      </c>
      <c r="D674" s="642">
        <f>SUM(D675:D680)</f>
        <v>0</v>
      </c>
      <c r="E674" s="642">
        <f t="shared" si="53"/>
        <v>63500</v>
      </c>
    </row>
    <row r="675" spans="1:5">
      <c r="A675" s="645" t="s">
        <v>324</v>
      </c>
      <c r="B675" s="646">
        <v>40200</v>
      </c>
      <c r="C675" s="646"/>
      <c r="D675" s="646"/>
      <c r="E675" s="646">
        <f t="shared" si="53"/>
        <v>40200</v>
      </c>
    </row>
    <row r="676" spans="1:5">
      <c r="A676" s="645" t="s">
        <v>560</v>
      </c>
      <c r="B676" s="646">
        <v>1000</v>
      </c>
      <c r="C676" s="646"/>
      <c r="D676" s="646"/>
      <c r="E676" s="646">
        <f t="shared" si="53"/>
        <v>1000</v>
      </c>
    </row>
    <row r="677" spans="1:5">
      <c r="A677" s="645" t="s">
        <v>280</v>
      </c>
      <c r="B677" s="646">
        <v>6200</v>
      </c>
      <c r="C677" s="646"/>
      <c r="D677" s="646"/>
      <c r="E677" s="646">
        <f t="shared" si="53"/>
        <v>6200</v>
      </c>
    </row>
    <row r="678" spans="1:5">
      <c r="A678" s="645" t="s">
        <v>9</v>
      </c>
      <c r="B678" s="646">
        <v>3600</v>
      </c>
      <c r="C678" s="646"/>
      <c r="D678" s="646"/>
      <c r="E678" s="646">
        <f t="shared" si="53"/>
        <v>3600</v>
      </c>
    </row>
    <row r="679" spans="1:5">
      <c r="A679" s="643" t="s">
        <v>5</v>
      </c>
      <c r="B679" s="644">
        <v>7000</v>
      </c>
      <c r="C679" s="644">
        <v>500</v>
      </c>
      <c r="D679" s="644"/>
      <c r="E679" s="644">
        <f t="shared" si="53"/>
        <v>7500</v>
      </c>
    </row>
    <row r="680" spans="1:5">
      <c r="A680" s="643" t="s">
        <v>114</v>
      </c>
      <c r="B680" s="644">
        <v>2000</v>
      </c>
      <c r="C680" s="644">
        <v>3000</v>
      </c>
      <c r="D680" s="644"/>
      <c r="E680" s="644">
        <f t="shared" si="53"/>
        <v>5000</v>
      </c>
    </row>
    <row r="681" spans="1:5">
      <c r="A681" s="643"/>
      <c r="B681" s="644"/>
      <c r="C681" s="644"/>
      <c r="D681" s="644"/>
      <c r="E681" s="644">
        <f t="shared" si="53"/>
        <v>0</v>
      </c>
    </row>
    <row r="682" spans="1:5">
      <c r="A682" s="639" t="s">
        <v>115</v>
      </c>
      <c r="B682" s="640">
        <f>B684+B705+B715+B726</f>
        <v>575107</v>
      </c>
      <c r="C682" s="640">
        <f>C684+C705+C715+C726</f>
        <v>29200</v>
      </c>
      <c r="D682" s="640">
        <f>D684+D705+D715+D726</f>
        <v>11367</v>
      </c>
      <c r="E682" s="640">
        <f t="shared" si="53"/>
        <v>615674</v>
      </c>
    </row>
    <row r="683" spans="1:5">
      <c r="A683" s="647"/>
      <c r="B683" s="648"/>
      <c r="C683" s="648"/>
      <c r="D683" s="648"/>
      <c r="E683" s="648">
        <f t="shared" si="53"/>
        <v>0</v>
      </c>
    </row>
    <row r="684" spans="1:5">
      <c r="A684" s="641" t="s">
        <v>116</v>
      </c>
      <c r="B684" s="642">
        <f>B690+B693+B697+B699+B685+B688</f>
        <v>298627</v>
      </c>
      <c r="C684" s="642">
        <f>C690+C693+C697+C699+C685+C688</f>
        <v>15200</v>
      </c>
      <c r="D684" s="642">
        <f>D690+D693+D697+D699+D685+D688</f>
        <v>-233</v>
      </c>
      <c r="E684" s="642">
        <f t="shared" si="53"/>
        <v>313594</v>
      </c>
    </row>
    <row r="685" spans="1:5">
      <c r="A685" s="641" t="s">
        <v>286</v>
      </c>
      <c r="B685" s="642">
        <f>SUM(B686:B687)</f>
        <v>2400</v>
      </c>
      <c r="C685" s="642">
        <f>SUM(C686:C687)</f>
        <v>0</v>
      </c>
      <c r="D685" s="642">
        <f>SUM(D686:D687)</f>
        <v>0</v>
      </c>
      <c r="E685" s="642">
        <f t="shared" si="53"/>
        <v>2400</v>
      </c>
    </row>
    <row r="686" spans="1:5">
      <c r="A686" s="643" t="s">
        <v>117</v>
      </c>
      <c r="B686" s="644">
        <v>400</v>
      </c>
      <c r="C686" s="644"/>
      <c r="D686" s="644"/>
      <c r="E686" s="644">
        <f t="shared" si="53"/>
        <v>400</v>
      </c>
    </row>
    <row r="687" spans="1:5">
      <c r="A687" s="645" t="s">
        <v>118</v>
      </c>
      <c r="B687" s="646">
        <v>2000</v>
      </c>
      <c r="C687" s="646"/>
      <c r="D687" s="646"/>
      <c r="E687" s="646">
        <f t="shared" si="53"/>
        <v>2000</v>
      </c>
    </row>
    <row r="688" spans="1:5">
      <c r="A688" s="641" t="s">
        <v>287</v>
      </c>
      <c r="B688" s="642">
        <f>B689</f>
        <v>16000</v>
      </c>
      <c r="C688" s="642">
        <f>C689</f>
        <v>6000</v>
      </c>
      <c r="D688" s="642">
        <f>D689</f>
        <v>5200</v>
      </c>
      <c r="E688" s="642">
        <f t="shared" si="53"/>
        <v>27200</v>
      </c>
    </row>
    <row r="689" spans="1:5">
      <c r="A689" s="645" t="s">
        <v>280</v>
      </c>
      <c r="B689" s="646">
        <v>16000</v>
      </c>
      <c r="C689" s="646">
        <v>6000</v>
      </c>
      <c r="D689" s="646">
        <v>5200</v>
      </c>
      <c r="E689" s="646">
        <f t="shared" si="53"/>
        <v>27200</v>
      </c>
    </row>
    <row r="690" spans="1:5">
      <c r="A690" s="641" t="s">
        <v>316</v>
      </c>
      <c r="B690" s="642">
        <f>B691+B692</f>
        <v>2100</v>
      </c>
      <c r="C690" s="642">
        <f>C691+C692</f>
        <v>0</v>
      </c>
      <c r="D690" s="642">
        <f>D691+D692</f>
        <v>0</v>
      </c>
      <c r="E690" s="642">
        <f t="shared" si="53"/>
        <v>2100</v>
      </c>
    </row>
    <row r="691" spans="1:5">
      <c r="A691" s="643" t="s">
        <v>317</v>
      </c>
      <c r="B691" s="644">
        <v>1000</v>
      </c>
      <c r="C691" s="644"/>
      <c r="D691" s="644"/>
      <c r="E691" s="644">
        <f t="shared" si="53"/>
        <v>1000</v>
      </c>
    </row>
    <row r="692" spans="1:5">
      <c r="A692" s="643" t="s">
        <v>273</v>
      </c>
      <c r="B692" s="644">
        <v>1100</v>
      </c>
      <c r="C692" s="644"/>
      <c r="D692" s="644"/>
      <c r="E692" s="644">
        <f t="shared" si="53"/>
        <v>1100</v>
      </c>
    </row>
    <row r="693" spans="1:5">
      <c r="A693" s="641" t="s">
        <v>271</v>
      </c>
      <c r="B693" s="642">
        <f>SUM(B694:B696)</f>
        <v>117570</v>
      </c>
      <c r="C693" s="642">
        <f>SUM(C694:C696)</f>
        <v>0</v>
      </c>
      <c r="D693" s="642">
        <f>SUM(D694:D696)</f>
        <v>-8433</v>
      </c>
      <c r="E693" s="642">
        <f t="shared" si="53"/>
        <v>109137</v>
      </c>
    </row>
    <row r="694" spans="1:5">
      <c r="A694" s="643" t="s">
        <v>272</v>
      </c>
      <c r="B694" s="644">
        <v>86300</v>
      </c>
      <c r="C694" s="644"/>
      <c r="D694" s="644">
        <v>-9933</v>
      </c>
      <c r="E694" s="644">
        <f t="shared" si="53"/>
        <v>76367</v>
      </c>
    </row>
    <row r="695" spans="1:5">
      <c r="A695" s="643" t="s">
        <v>273</v>
      </c>
      <c r="B695" s="644">
        <v>26500</v>
      </c>
      <c r="C695" s="644"/>
      <c r="D695" s="644"/>
      <c r="E695" s="644">
        <f t="shared" si="53"/>
        <v>26500</v>
      </c>
    </row>
    <row r="696" spans="1:5">
      <c r="A696" s="643" t="s">
        <v>288</v>
      </c>
      <c r="B696" s="644">
        <v>4770</v>
      </c>
      <c r="C696" s="644"/>
      <c r="D696" s="644">
        <v>1500</v>
      </c>
      <c r="E696" s="644">
        <f t="shared" si="53"/>
        <v>6270</v>
      </c>
    </row>
    <row r="697" spans="1:5">
      <c r="A697" s="641" t="s">
        <v>311</v>
      </c>
      <c r="B697" s="642">
        <f>B698</f>
        <v>58357</v>
      </c>
      <c r="C697" s="642">
        <f>C698</f>
        <v>0</v>
      </c>
      <c r="D697" s="642">
        <f>D698</f>
        <v>0</v>
      </c>
      <c r="E697" s="642">
        <f t="shared" si="53"/>
        <v>58357</v>
      </c>
    </row>
    <row r="698" spans="1:5">
      <c r="A698" s="645" t="s">
        <v>337</v>
      </c>
      <c r="B698" s="646">
        <f>56357+2000</f>
        <v>58357</v>
      </c>
      <c r="C698" s="646"/>
      <c r="D698" s="646"/>
      <c r="E698" s="646">
        <f t="shared" si="53"/>
        <v>58357</v>
      </c>
    </row>
    <row r="699" spans="1:5">
      <c r="A699" s="641" t="s">
        <v>275</v>
      </c>
      <c r="B699" s="642">
        <f>SUM(B700:B703)</f>
        <v>102200</v>
      </c>
      <c r="C699" s="642">
        <f>SUM(C700:C703)</f>
        <v>9200</v>
      </c>
      <c r="D699" s="642">
        <f>SUM(D700:D703)</f>
        <v>3000</v>
      </c>
      <c r="E699" s="642">
        <f t="shared" si="53"/>
        <v>114400</v>
      </c>
    </row>
    <row r="700" spans="1:5">
      <c r="A700" s="643" t="s">
        <v>6</v>
      </c>
      <c r="B700" s="644">
        <v>21000</v>
      </c>
      <c r="C700" s="644">
        <v>4000</v>
      </c>
      <c r="D700" s="644">
        <v>3000</v>
      </c>
      <c r="E700" s="644">
        <f t="shared" si="53"/>
        <v>28000</v>
      </c>
    </row>
    <row r="701" spans="1:5">
      <c r="A701" s="645" t="s">
        <v>313</v>
      </c>
      <c r="B701" s="646">
        <v>35000</v>
      </c>
      <c r="C701" s="646"/>
      <c r="D701" s="646"/>
      <c r="E701" s="646">
        <f t="shared" si="53"/>
        <v>35000</v>
      </c>
    </row>
    <row r="702" spans="1:5">
      <c r="A702" s="643" t="s">
        <v>392</v>
      </c>
      <c r="B702" s="644">
        <f>41200+2800</f>
        <v>44000</v>
      </c>
      <c r="C702" s="644">
        <v>4000</v>
      </c>
      <c r="D702" s="644"/>
      <c r="E702" s="644">
        <f t="shared" si="53"/>
        <v>48000</v>
      </c>
    </row>
    <row r="703" spans="1:5">
      <c r="A703" s="645" t="s">
        <v>511</v>
      </c>
      <c r="B703" s="646">
        <v>2200</v>
      </c>
      <c r="C703" s="646">
        <v>1200</v>
      </c>
      <c r="D703" s="646"/>
      <c r="E703" s="646">
        <f t="shared" si="53"/>
        <v>3400</v>
      </c>
    </row>
    <row r="704" spans="1:5">
      <c r="A704" s="645"/>
      <c r="B704" s="646"/>
      <c r="C704" s="646"/>
      <c r="D704" s="646"/>
      <c r="E704" s="646">
        <f t="shared" si="53"/>
        <v>0</v>
      </c>
    </row>
    <row r="705" spans="1:5">
      <c r="A705" s="675" t="s">
        <v>119</v>
      </c>
      <c r="B705" s="642">
        <f>B706+B711</f>
        <v>68800</v>
      </c>
      <c r="C705" s="642">
        <f>C706+C711</f>
        <v>10000</v>
      </c>
      <c r="D705" s="642">
        <f>D706+D711</f>
        <v>1700</v>
      </c>
      <c r="E705" s="642">
        <f t="shared" si="53"/>
        <v>80500</v>
      </c>
    </row>
    <row r="706" spans="1:5">
      <c r="A706" s="641" t="s">
        <v>286</v>
      </c>
      <c r="B706" s="642">
        <f>SUM(B707:B710)</f>
        <v>58400</v>
      </c>
      <c r="C706" s="642">
        <f>SUM(C707:C710)</f>
        <v>8800</v>
      </c>
      <c r="D706" s="642">
        <f>SUM(D707:D710)</f>
        <v>1700</v>
      </c>
      <c r="E706" s="642">
        <f t="shared" si="53"/>
        <v>68900</v>
      </c>
    </row>
    <row r="707" spans="1:5">
      <c r="A707" s="645" t="s">
        <v>309</v>
      </c>
      <c r="B707" s="646">
        <v>16100</v>
      </c>
      <c r="C707" s="646">
        <v>600</v>
      </c>
      <c r="D707" s="646"/>
      <c r="E707" s="646">
        <f t="shared" si="53"/>
        <v>16700</v>
      </c>
    </row>
    <row r="708" spans="1:5">
      <c r="A708" s="645" t="s">
        <v>299</v>
      </c>
      <c r="B708" s="646">
        <v>10000</v>
      </c>
      <c r="C708" s="646">
        <v>4000</v>
      </c>
      <c r="D708" s="646">
        <v>500</v>
      </c>
      <c r="E708" s="646">
        <f t="shared" ref="E708:E771" si="54">SUM(B708:D708)</f>
        <v>14500</v>
      </c>
    </row>
    <row r="709" spans="1:5">
      <c r="A709" s="645" t="s">
        <v>306</v>
      </c>
      <c r="B709" s="646">
        <v>30200</v>
      </c>
      <c r="C709" s="646">
        <v>4000</v>
      </c>
      <c r="D709" s="646">
        <v>2000</v>
      </c>
      <c r="E709" s="646">
        <f t="shared" si="54"/>
        <v>36200</v>
      </c>
    </row>
    <row r="710" spans="1:5">
      <c r="A710" s="645" t="s">
        <v>296</v>
      </c>
      <c r="B710" s="646">
        <v>2100</v>
      </c>
      <c r="C710" s="646">
        <v>200</v>
      </c>
      <c r="D710" s="646">
        <v>-800</v>
      </c>
      <c r="E710" s="646">
        <f t="shared" si="54"/>
        <v>1500</v>
      </c>
    </row>
    <row r="711" spans="1:5">
      <c r="A711" s="641" t="s">
        <v>271</v>
      </c>
      <c r="B711" s="642">
        <f>SUM(B712:B713)</f>
        <v>10400</v>
      </c>
      <c r="C711" s="642">
        <f>SUM(C712:C713)</f>
        <v>1200</v>
      </c>
      <c r="D711" s="642">
        <f>SUM(D712:D713)</f>
        <v>0</v>
      </c>
      <c r="E711" s="642">
        <f t="shared" si="54"/>
        <v>11600</v>
      </c>
    </row>
    <row r="712" spans="1:5">
      <c r="A712" s="643" t="s">
        <v>272</v>
      </c>
      <c r="B712" s="644">
        <v>6400</v>
      </c>
      <c r="C712" s="644"/>
      <c r="D712" s="644"/>
      <c r="E712" s="644">
        <f t="shared" si="54"/>
        <v>6400</v>
      </c>
    </row>
    <row r="713" spans="1:5">
      <c r="A713" s="643" t="s">
        <v>273</v>
      </c>
      <c r="B713" s="644">
        <v>4000</v>
      </c>
      <c r="C713" s="644">
        <v>1200</v>
      </c>
      <c r="D713" s="644"/>
      <c r="E713" s="644">
        <f t="shared" si="54"/>
        <v>5200</v>
      </c>
    </row>
    <row r="714" spans="1:5">
      <c r="A714" s="641"/>
      <c r="B714" s="642"/>
      <c r="C714" s="642"/>
      <c r="D714" s="642"/>
      <c r="E714" s="642">
        <f t="shared" si="54"/>
        <v>0</v>
      </c>
    </row>
    <row r="715" spans="1:5">
      <c r="A715" s="641" t="s">
        <v>512</v>
      </c>
      <c r="B715" s="642">
        <f>B716+B720</f>
        <v>15700</v>
      </c>
      <c r="C715" s="642">
        <f>C716+C720</f>
        <v>4000</v>
      </c>
      <c r="D715" s="642">
        <f>D716+D720</f>
        <v>2400</v>
      </c>
      <c r="E715" s="642">
        <f t="shared" si="54"/>
        <v>22100</v>
      </c>
    </row>
    <row r="716" spans="1:5">
      <c r="A716" s="641" t="s">
        <v>322</v>
      </c>
      <c r="B716" s="642">
        <f>SUM(B717:B719)</f>
        <v>7650</v>
      </c>
      <c r="C716" s="642">
        <f>SUM(C717:C719)</f>
        <v>4000</v>
      </c>
      <c r="D716" s="642">
        <f>SUM(D717:D719)</f>
        <v>1100</v>
      </c>
      <c r="E716" s="642">
        <f t="shared" si="54"/>
        <v>12750</v>
      </c>
    </row>
    <row r="717" spans="1:5">
      <c r="A717" s="645" t="s">
        <v>280</v>
      </c>
      <c r="B717" s="646">
        <v>2800</v>
      </c>
      <c r="C717" s="646">
        <v>4000</v>
      </c>
      <c r="D717" s="646">
        <v>1100</v>
      </c>
      <c r="E717" s="646">
        <f t="shared" si="54"/>
        <v>7900</v>
      </c>
    </row>
    <row r="718" spans="1:5">
      <c r="A718" s="645" t="s">
        <v>309</v>
      </c>
      <c r="B718" s="646">
        <v>4380</v>
      </c>
      <c r="C718" s="646"/>
      <c r="D718" s="646"/>
      <c r="E718" s="646">
        <f t="shared" si="54"/>
        <v>4380</v>
      </c>
    </row>
    <row r="719" spans="1:5">
      <c r="A719" s="643" t="s">
        <v>114</v>
      </c>
      <c r="B719" s="644">
        <v>470</v>
      </c>
      <c r="C719" s="644"/>
      <c r="D719" s="644"/>
      <c r="E719" s="644">
        <f t="shared" si="54"/>
        <v>470</v>
      </c>
    </row>
    <row r="720" spans="1:5">
      <c r="A720" s="641" t="s">
        <v>287</v>
      </c>
      <c r="B720" s="642">
        <f>SUM(B721:B724)</f>
        <v>8050</v>
      </c>
      <c r="C720" s="642">
        <f>SUM(C721:C724)</f>
        <v>0</v>
      </c>
      <c r="D720" s="642">
        <f>SUM(D721:D724)</f>
        <v>1300</v>
      </c>
      <c r="E720" s="642">
        <f t="shared" si="54"/>
        <v>9350</v>
      </c>
    </row>
    <row r="721" spans="1:5">
      <c r="A721" s="645" t="s">
        <v>9</v>
      </c>
      <c r="B721" s="646">
        <v>400</v>
      </c>
      <c r="C721" s="646"/>
      <c r="D721" s="646"/>
      <c r="E721" s="646">
        <f t="shared" si="54"/>
        <v>400</v>
      </c>
    </row>
    <row r="722" spans="1:5">
      <c r="A722" s="645" t="s">
        <v>300</v>
      </c>
      <c r="B722" s="646">
        <v>4400</v>
      </c>
      <c r="C722" s="646"/>
      <c r="D722" s="646">
        <v>1300</v>
      </c>
      <c r="E722" s="646">
        <f t="shared" si="54"/>
        <v>5700</v>
      </c>
    </row>
    <row r="723" spans="1:5">
      <c r="A723" s="645" t="s">
        <v>34</v>
      </c>
      <c r="B723" s="646">
        <v>250</v>
      </c>
      <c r="C723" s="646"/>
      <c r="D723" s="646"/>
      <c r="E723" s="646">
        <f t="shared" si="54"/>
        <v>250</v>
      </c>
    </row>
    <row r="724" spans="1:5">
      <c r="A724" s="645" t="s">
        <v>298</v>
      </c>
      <c r="B724" s="646">
        <v>3000</v>
      </c>
      <c r="C724" s="646"/>
      <c r="D724" s="646"/>
      <c r="E724" s="646">
        <f t="shared" si="54"/>
        <v>3000</v>
      </c>
    </row>
    <row r="725" spans="1:5">
      <c r="A725" s="641"/>
      <c r="B725" s="642"/>
      <c r="C725" s="642"/>
      <c r="D725" s="642"/>
      <c r="E725" s="642">
        <f t="shared" si="54"/>
        <v>0</v>
      </c>
    </row>
    <row r="726" spans="1:5">
      <c r="A726" s="641" t="s">
        <v>359</v>
      </c>
      <c r="B726" s="642">
        <f>B727+B731+B734</f>
        <v>191980</v>
      </c>
      <c r="C726" s="642">
        <f>C727+C731+C734</f>
        <v>0</v>
      </c>
      <c r="D726" s="642">
        <f>D727+D731+D734</f>
        <v>7500</v>
      </c>
      <c r="E726" s="642">
        <f t="shared" si="54"/>
        <v>199480</v>
      </c>
    </row>
    <row r="727" spans="1:5">
      <c r="A727" s="641" t="s">
        <v>322</v>
      </c>
      <c r="B727" s="642">
        <f>SUM(B728:B730)</f>
        <v>151257</v>
      </c>
      <c r="C727" s="642">
        <f>SUM(C728:C730)</f>
        <v>0</v>
      </c>
      <c r="D727" s="642">
        <f>SUM(D728:D730)</f>
        <v>4000</v>
      </c>
      <c r="E727" s="642">
        <f t="shared" si="54"/>
        <v>155257</v>
      </c>
    </row>
    <row r="728" spans="1:5">
      <c r="A728" s="645" t="s">
        <v>120</v>
      </c>
      <c r="B728" s="646">
        <v>2700</v>
      </c>
      <c r="C728" s="646"/>
      <c r="D728" s="646">
        <v>-400</v>
      </c>
      <c r="E728" s="646">
        <f t="shared" si="54"/>
        <v>2300</v>
      </c>
    </row>
    <row r="729" spans="1:5">
      <c r="A729" s="645" t="s">
        <v>323</v>
      </c>
      <c r="B729" s="646">
        <v>141457</v>
      </c>
      <c r="C729" s="646"/>
      <c r="D729" s="646">
        <v>7400</v>
      </c>
      <c r="E729" s="646">
        <f t="shared" si="54"/>
        <v>148857</v>
      </c>
    </row>
    <row r="730" spans="1:5">
      <c r="A730" s="645" t="s">
        <v>280</v>
      </c>
      <c r="B730" s="646">
        <v>7100</v>
      </c>
      <c r="C730" s="646"/>
      <c r="D730" s="646">
        <v>-3000</v>
      </c>
      <c r="E730" s="646">
        <f t="shared" si="54"/>
        <v>4100</v>
      </c>
    </row>
    <row r="731" spans="1:5">
      <c r="A731" s="641" t="s">
        <v>316</v>
      </c>
      <c r="B731" s="642">
        <f>SUM(B732:B733)</f>
        <v>31000</v>
      </c>
      <c r="C731" s="642">
        <f>SUM(C732:C733)</f>
        <v>0</v>
      </c>
      <c r="D731" s="642">
        <f>SUM(D732:D733)</f>
        <v>4600</v>
      </c>
      <c r="E731" s="642">
        <f t="shared" si="54"/>
        <v>35600</v>
      </c>
    </row>
    <row r="732" spans="1:5">
      <c r="A732" s="645" t="s">
        <v>317</v>
      </c>
      <c r="B732" s="646">
        <v>8000</v>
      </c>
      <c r="C732" s="646"/>
      <c r="D732" s="646">
        <v>1600</v>
      </c>
      <c r="E732" s="646">
        <f t="shared" si="54"/>
        <v>9600</v>
      </c>
    </row>
    <row r="733" spans="1:5">
      <c r="A733" s="643" t="s">
        <v>273</v>
      </c>
      <c r="B733" s="644">
        <v>23000</v>
      </c>
      <c r="C733" s="644"/>
      <c r="D733" s="644">
        <v>3000</v>
      </c>
      <c r="E733" s="644">
        <f t="shared" si="54"/>
        <v>26000</v>
      </c>
    </row>
    <row r="734" spans="1:5">
      <c r="A734" s="641" t="s">
        <v>271</v>
      </c>
      <c r="B734" s="642">
        <f>SUM(B735:B736)</f>
        <v>9723</v>
      </c>
      <c r="C734" s="642">
        <f>SUM(C735:C736)</f>
        <v>0</v>
      </c>
      <c r="D734" s="642">
        <f>SUM(D735:D736)</f>
        <v>-1100</v>
      </c>
      <c r="E734" s="642">
        <f t="shared" si="54"/>
        <v>8623</v>
      </c>
    </row>
    <row r="735" spans="1:5">
      <c r="A735" s="643" t="s">
        <v>272</v>
      </c>
      <c r="B735" s="644">
        <v>1223</v>
      </c>
      <c r="C735" s="644"/>
      <c r="D735" s="644">
        <v>-600</v>
      </c>
      <c r="E735" s="644">
        <f t="shared" si="54"/>
        <v>623</v>
      </c>
    </row>
    <row r="736" spans="1:5">
      <c r="A736" s="643" t="s">
        <v>273</v>
      </c>
      <c r="B736" s="644">
        <v>8500</v>
      </c>
      <c r="C736" s="644"/>
      <c r="D736" s="644">
        <v>-500</v>
      </c>
      <c r="E736" s="644">
        <f t="shared" si="54"/>
        <v>8000</v>
      </c>
    </row>
    <row r="737" spans="1:5">
      <c r="A737" s="645"/>
      <c r="B737" s="646"/>
      <c r="C737" s="646"/>
      <c r="D737" s="646"/>
      <c r="E737" s="646"/>
    </row>
    <row r="738" spans="1:5">
      <c r="A738" s="639" t="s">
        <v>121</v>
      </c>
      <c r="B738" s="640">
        <f>B740+B752</f>
        <v>231900</v>
      </c>
      <c r="C738" s="640">
        <f>C740+C752</f>
        <v>26300</v>
      </c>
      <c r="D738" s="640">
        <f>D740+D752</f>
        <v>3640</v>
      </c>
      <c r="E738" s="640">
        <f t="shared" si="54"/>
        <v>261840</v>
      </c>
    </row>
    <row r="739" spans="1:5">
      <c r="A739" s="647"/>
      <c r="B739" s="648"/>
      <c r="C739" s="648"/>
      <c r="D739" s="648"/>
      <c r="E739" s="648">
        <f t="shared" si="54"/>
        <v>0</v>
      </c>
    </row>
    <row r="740" spans="1:5">
      <c r="A740" s="641" t="s">
        <v>122</v>
      </c>
      <c r="B740" s="642">
        <f>B741+B743+B746+B748</f>
        <v>174050</v>
      </c>
      <c r="C740" s="642">
        <f>C741+C743+C746+C748</f>
        <v>26300</v>
      </c>
      <c r="D740" s="642">
        <f>D741+D743+D746+D748</f>
        <v>3520</v>
      </c>
      <c r="E740" s="642">
        <f t="shared" si="54"/>
        <v>203870</v>
      </c>
    </row>
    <row r="741" spans="1:5">
      <c r="A741" s="641" t="s">
        <v>316</v>
      </c>
      <c r="B741" s="642">
        <f>B742</f>
        <v>1280</v>
      </c>
      <c r="C741" s="642">
        <f>C742</f>
        <v>0</v>
      </c>
      <c r="D741" s="642">
        <f>D742</f>
        <v>0</v>
      </c>
      <c r="E741" s="642">
        <f t="shared" si="54"/>
        <v>1280</v>
      </c>
    </row>
    <row r="742" spans="1:5">
      <c r="A742" s="643" t="s">
        <v>317</v>
      </c>
      <c r="B742" s="644">
        <v>1280</v>
      </c>
      <c r="C742" s="644"/>
      <c r="D742" s="644"/>
      <c r="E742" s="644">
        <f t="shared" si="54"/>
        <v>1280</v>
      </c>
    </row>
    <row r="743" spans="1:5">
      <c r="A743" s="641" t="s">
        <v>271</v>
      </c>
      <c r="B743" s="642">
        <f>SUM(B744:B745)</f>
        <v>44270</v>
      </c>
      <c r="C743" s="642">
        <f>SUM(C744:C745)</f>
        <v>1860</v>
      </c>
      <c r="D743" s="642">
        <f>SUM(D744:D745)</f>
        <v>420</v>
      </c>
      <c r="E743" s="642">
        <f t="shared" si="54"/>
        <v>46550</v>
      </c>
    </row>
    <row r="744" spans="1:5">
      <c r="A744" s="643" t="s">
        <v>272</v>
      </c>
      <c r="B744" s="644">
        <v>34270</v>
      </c>
      <c r="C744" s="644">
        <v>1860</v>
      </c>
      <c r="D744" s="644">
        <v>420</v>
      </c>
      <c r="E744" s="644">
        <f t="shared" si="54"/>
        <v>36550</v>
      </c>
    </row>
    <row r="745" spans="1:5">
      <c r="A745" s="643" t="s">
        <v>273</v>
      </c>
      <c r="B745" s="644">
        <v>10000</v>
      </c>
      <c r="C745" s="644"/>
      <c r="D745" s="644"/>
      <c r="E745" s="644">
        <f t="shared" si="54"/>
        <v>10000</v>
      </c>
    </row>
    <row r="746" spans="1:5">
      <c r="A746" s="641" t="s">
        <v>311</v>
      </c>
      <c r="B746" s="642">
        <f>B747</f>
        <v>65900</v>
      </c>
      <c r="C746" s="642">
        <f>C747</f>
        <v>11450</v>
      </c>
      <c r="D746" s="642">
        <f>D747</f>
        <v>1600</v>
      </c>
      <c r="E746" s="642">
        <f t="shared" si="54"/>
        <v>78950</v>
      </c>
    </row>
    <row r="747" spans="1:5">
      <c r="A747" s="645" t="s">
        <v>337</v>
      </c>
      <c r="B747" s="646">
        <v>65900</v>
      </c>
      <c r="C747" s="646">
        <v>11450</v>
      </c>
      <c r="D747" s="646">
        <v>1600</v>
      </c>
      <c r="E747" s="646">
        <f t="shared" si="54"/>
        <v>78950</v>
      </c>
    </row>
    <row r="748" spans="1:5">
      <c r="A748" s="658" t="s">
        <v>275</v>
      </c>
      <c r="B748" s="659">
        <f>SUM(B749:B750)</f>
        <v>62600</v>
      </c>
      <c r="C748" s="659">
        <f>SUM(C749:C750)</f>
        <v>12990</v>
      </c>
      <c r="D748" s="659">
        <f>SUM(D749:D750)</f>
        <v>1500</v>
      </c>
      <c r="E748" s="659">
        <f t="shared" si="54"/>
        <v>77090</v>
      </c>
    </row>
    <row r="749" spans="1:5">
      <c r="A749" s="643" t="s">
        <v>6</v>
      </c>
      <c r="B749" s="644">
        <v>52600</v>
      </c>
      <c r="C749" s="644">
        <v>12990</v>
      </c>
      <c r="D749" s="644">
        <v>1500</v>
      </c>
      <c r="E749" s="644">
        <f t="shared" si="54"/>
        <v>67090</v>
      </c>
    </row>
    <row r="750" spans="1:5">
      <c r="A750" s="645" t="s">
        <v>313</v>
      </c>
      <c r="B750" s="646">
        <v>10000</v>
      </c>
      <c r="C750" s="646"/>
      <c r="D750" s="646"/>
      <c r="E750" s="646">
        <f t="shared" si="54"/>
        <v>10000</v>
      </c>
    </row>
    <row r="751" spans="1:5">
      <c r="A751" s="641"/>
      <c r="B751" s="642"/>
      <c r="C751" s="642"/>
      <c r="D751" s="642"/>
      <c r="E751" s="642">
        <f t="shared" si="54"/>
        <v>0</v>
      </c>
    </row>
    <row r="752" spans="1:5">
      <c r="A752" s="658" t="s">
        <v>123</v>
      </c>
      <c r="B752" s="659">
        <f>B753+B759+B762</f>
        <v>57850</v>
      </c>
      <c r="C752" s="659">
        <f>C753+C759+C762</f>
        <v>0</v>
      </c>
      <c r="D752" s="659">
        <f>D753+D759+D762</f>
        <v>120</v>
      </c>
      <c r="E752" s="659">
        <f t="shared" si="54"/>
        <v>57970</v>
      </c>
    </row>
    <row r="753" spans="1:5">
      <c r="A753" s="641" t="s">
        <v>286</v>
      </c>
      <c r="B753" s="642">
        <f>SUM(B754:B758)</f>
        <v>47300</v>
      </c>
      <c r="C753" s="642">
        <f>SUM(C754:C758)</f>
        <v>0</v>
      </c>
      <c r="D753" s="642">
        <f>SUM(D754:D758)</f>
        <v>-3280</v>
      </c>
      <c r="E753" s="642">
        <f t="shared" si="54"/>
        <v>44020</v>
      </c>
    </row>
    <row r="754" spans="1:5">
      <c r="A754" s="645" t="s">
        <v>309</v>
      </c>
      <c r="B754" s="646">
        <v>26500</v>
      </c>
      <c r="C754" s="646"/>
      <c r="D754" s="646"/>
      <c r="E754" s="646">
        <f t="shared" si="54"/>
        <v>26500</v>
      </c>
    </row>
    <row r="755" spans="1:5">
      <c r="A755" s="645" t="s">
        <v>299</v>
      </c>
      <c r="B755" s="646">
        <v>1000</v>
      </c>
      <c r="C755" s="646"/>
      <c r="D755" s="646">
        <v>-300</v>
      </c>
      <c r="E755" s="646">
        <f t="shared" si="54"/>
        <v>700</v>
      </c>
    </row>
    <row r="756" spans="1:5">
      <c r="A756" s="645" t="s">
        <v>280</v>
      </c>
      <c r="B756" s="646">
        <v>2500</v>
      </c>
      <c r="C756" s="646"/>
      <c r="D756" s="646">
        <v>120</v>
      </c>
      <c r="E756" s="646">
        <f t="shared" si="54"/>
        <v>2620</v>
      </c>
    </row>
    <row r="757" spans="1:5">
      <c r="A757" s="645" t="s">
        <v>306</v>
      </c>
      <c r="B757" s="646">
        <v>17000</v>
      </c>
      <c r="C757" s="646"/>
      <c r="D757" s="646">
        <v>-3000</v>
      </c>
      <c r="E757" s="646">
        <f t="shared" si="54"/>
        <v>14000</v>
      </c>
    </row>
    <row r="758" spans="1:5">
      <c r="A758" s="645" t="s">
        <v>296</v>
      </c>
      <c r="B758" s="646">
        <v>300</v>
      </c>
      <c r="C758" s="646"/>
      <c r="D758" s="646">
        <v>-100</v>
      </c>
      <c r="E758" s="646">
        <f t="shared" si="54"/>
        <v>200</v>
      </c>
    </row>
    <row r="759" spans="1:5">
      <c r="A759" s="641" t="s">
        <v>287</v>
      </c>
      <c r="B759" s="642">
        <f>SUM(B760:B761)</f>
        <v>450</v>
      </c>
      <c r="C759" s="642">
        <f>SUM(C760:C761)</f>
        <v>0</v>
      </c>
      <c r="D759" s="642">
        <f>SUM(D760:D761)</f>
        <v>100</v>
      </c>
      <c r="E759" s="642">
        <f t="shared" si="54"/>
        <v>550</v>
      </c>
    </row>
    <row r="760" spans="1:5">
      <c r="A760" s="645" t="s">
        <v>280</v>
      </c>
      <c r="B760" s="646">
        <v>50</v>
      </c>
      <c r="C760" s="646"/>
      <c r="D760" s="646"/>
      <c r="E760" s="646">
        <f t="shared" si="54"/>
        <v>50</v>
      </c>
    </row>
    <row r="761" spans="1:5">
      <c r="A761" s="645" t="s">
        <v>300</v>
      </c>
      <c r="B761" s="646">
        <v>400</v>
      </c>
      <c r="C761" s="646"/>
      <c r="D761" s="646">
        <v>100</v>
      </c>
      <c r="E761" s="646">
        <f t="shared" si="54"/>
        <v>500</v>
      </c>
    </row>
    <row r="762" spans="1:5">
      <c r="A762" s="641" t="s">
        <v>322</v>
      </c>
      <c r="B762" s="642">
        <f>SUM(B763:B767)</f>
        <v>10100</v>
      </c>
      <c r="C762" s="642"/>
      <c r="D762" s="642">
        <f>SUM(D763:D767)</f>
        <v>3300</v>
      </c>
      <c r="E762" s="642">
        <f t="shared" si="54"/>
        <v>13400</v>
      </c>
    </row>
    <row r="763" spans="1:5">
      <c r="A763" s="649" t="s">
        <v>5</v>
      </c>
      <c r="B763" s="650">
        <v>3750</v>
      </c>
      <c r="C763" s="650"/>
      <c r="D763" s="650"/>
      <c r="E763" s="650">
        <f t="shared" si="54"/>
        <v>3750</v>
      </c>
    </row>
    <row r="764" spans="1:5">
      <c r="A764" s="645" t="s">
        <v>9</v>
      </c>
      <c r="B764" s="646">
        <v>2800</v>
      </c>
      <c r="C764" s="646"/>
      <c r="D764" s="646">
        <v>700</v>
      </c>
      <c r="E764" s="646">
        <f t="shared" si="54"/>
        <v>3500</v>
      </c>
    </row>
    <row r="765" spans="1:5">
      <c r="A765" s="645" t="s">
        <v>114</v>
      </c>
      <c r="B765" s="646">
        <v>2400</v>
      </c>
      <c r="C765" s="646"/>
      <c r="D765" s="646">
        <v>1400</v>
      </c>
      <c r="E765" s="646">
        <f t="shared" si="54"/>
        <v>3800</v>
      </c>
    </row>
    <row r="766" spans="1:5">
      <c r="A766" s="645" t="s">
        <v>358</v>
      </c>
      <c r="B766" s="646">
        <v>700</v>
      </c>
      <c r="C766" s="646"/>
      <c r="D766" s="646">
        <v>1200</v>
      </c>
      <c r="E766" s="646">
        <f t="shared" si="54"/>
        <v>1900</v>
      </c>
    </row>
    <row r="767" spans="1:5">
      <c r="A767" s="645" t="s">
        <v>124</v>
      </c>
      <c r="B767" s="646">
        <v>450</v>
      </c>
      <c r="C767" s="646"/>
      <c r="D767" s="646"/>
      <c r="E767" s="646">
        <f t="shared" si="54"/>
        <v>450</v>
      </c>
    </row>
    <row r="768" spans="1:5">
      <c r="A768" s="641"/>
      <c r="B768" s="642"/>
      <c r="C768" s="642"/>
      <c r="D768" s="642"/>
      <c r="E768" s="642">
        <f t="shared" si="54"/>
        <v>0</v>
      </c>
    </row>
    <row r="769" spans="1:5">
      <c r="A769" s="639" t="s">
        <v>125</v>
      </c>
      <c r="B769" s="640">
        <f>B771+B787+B792+B799+B806</f>
        <v>1457615</v>
      </c>
      <c r="C769" s="640">
        <f>C771+C787+C792+C799+C806</f>
        <v>-178270</v>
      </c>
      <c r="D769" s="640">
        <f>D771+D787+D792+D799+D806</f>
        <v>-24845</v>
      </c>
      <c r="E769" s="640">
        <f t="shared" si="54"/>
        <v>1254500</v>
      </c>
    </row>
    <row r="770" spans="1:5">
      <c r="A770" s="672"/>
      <c r="B770" s="673"/>
      <c r="C770" s="673"/>
      <c r="D770" s="673"/>
      <c r="E770" s="673">
        <f t="shared" si="54"/>
        <v>0</v>
      </c>
    </row>
    <row r="771" spans="1:5">
      <c r="A771" s="641" t="s">
        <v>126</v>
      </c>
      <c r="B771" s="642">
        <f>B772+B775+B779+B783</f>
        <v>1111850</v>
      </c>
      <c r="C771" s="642">
        <f>C772+C775+C779+C783</f>
        <v>-118690</v>
      </c>
      <c r="D771" s="642">
        <f>D772+D775+D779+D783</f>
        <v>-29485</v>
      </c>
      <c r="E771" s="642">
        <f t="shared" si="54"/>
        <v>963675</v>
      </c>
    </row>
    <row r="772" spans="1:5">
      <c r="A772" s="641" t="s">
        <v>316</v>
      </c>
      <c r="B772" s="642">
        <f>SUM(B773:B774)</f>
        <v>335000</v>
      </c>
      <c r="C772" s="642">
        <f>SUM(C773:C774)</f>
        <v>-120600</v>
      </c>
      <c r="D772" s="642">
        <f>SUM(D773:D774)</f>
        <v>-22580</v>
      </c>
      <c r="E772" s="642">
        <f t="shared" ref="E772:E813" si="55">SUM(B772:D772)</f>
        <v>191820</v>
      </c>
    </row>
    <row r="773" spans="1:5">
      <c r="A773" s="643" t="s">
        <v>317</v>
      </c>
      <c r="B773" s="644">
        <v>115000</v>
      </c>
      <c r="C773" s="644">
        <v>-31350</v>
      </c>
      <c r="D773" s="644">
        <v>-13340</v>
      </c>
      <c r="E773" s="644">
        <f t="shared" si="55"/>
        <v>70310</v>
      </c>
    </row>
    <row r="774" spans="1:5">
      <c r="A774" s="643" t="s">
        <v>273</v>
      </c>
      <c r="B774" s="644">
        <v>220000</v>
      </c>
      <c r="C774" s="644">
        <v>-89250</v>
      </c>
      <c r="D774" s="644">
        <v>-9240</v>
      </c>
      <c r="E774" s="644">
        <f t="shared" si="55"/>
        <v>121510</v>
      </c>
    </row>
    <row r="775" spans="1:5">
      <c r="A775" s="641" t="s">
        <v>271</v>
      </c>
      <c r="B775" s="642">
        <f>SUM(B776:B778)</f>
        <v>608550</v>
      </c>
      <c r="C775" s="642">
        <f>SUM(C776:C778)</f>
        <v>-3090</v>
      </c>
      <c r="D775" s="642">
        <f>SUM(D776:D778)</f>
        <v>-27705</v>
      </c>
      <c r="E775" s="642">
        <f t="shared" si="55"/>
        <v>577755</v>
      </c>
    </row>
    <row r="776" spans="1:5">
      <c r="A776" s="643" t="s">
        <v>272</v>
      </c>
      <c r="B776" s="644">
        <v>454950</v>
      </c>
      <c r="C776" s="644"/>
      <c r="D776" s="644">
        <v>-6420</v>
      </c>
      <c r="E776" s="644">
        <f t="shared" si="55"/>
        <v>448530</v>
      </c>
    </row>
    <row r="777" spans="1:5">
      <c r="A777" s="643" t="s">
        <v>273</v>
      </c>
      <c r="B777" s="644">
        <v>152100</v>
      </c>
      <c r="C777" s="644">
        <v>-3090</v>
      </c>
      <c r="D777" s="644">
        <v>-19986</v>
      </c>
      <c r="E777" s="644">
        <f t="shared" si="55"/>
        <v>129024</v>
      </c>
    </row>
    <row r="778" spans="1:5">
      <c r="A778" s="643" t="s">
        <v>288</v>
      </c>
      <c r="B778" s="644">
        <v>1500</v>
      </c>
      <c r="C778" s="644"/>
      <c r="D778" s="644">
        <v>-1299</v>
      </c>
      <c r="E778" s="644">
        <f t="shared" si="55"/>
        <v>201</v>
      </c>
    </row>
    <row r="779" spans="1:5">
      <c r="A779" s="658" t="s">
        <v>311</v>
      </c>
      <c r="B779" s="659">
        <f>SUM(B780:B782)</f>
        <v>149900</v>
      </c>
      <c r="C779" s="659">
        <f>SUM(C780:C782)</f>
        <v>0</v>
      </c>
      <c r="D779" s="659">
        <f>SUM(D780:D782)</f>
        <v>18300</v>
      </c>
      <c r="E779" s="659">
        <f t="shared" si="55"/>
        <v>168200</v>
      </c>
    </row>
    <row r="780" spans="1:5">
      <c r="A780" s="645" t="s">
        <v>337</v>
      </c>
      <c r="B780" s="646">
        <v>130000</v>
      </c>
      <c r="C780" s="646"/>
      <c r="D780" s="646">
        <v>15000</v>
      </c>
      <c r="E780" s="646">
        <f t="shared" si="55"/>
        <v>145000</v>
      </c>
    </row>
    <row r="781" spans="1:5">
      <c r="A781" s="645" t="s">
        <v>312</v>
      </c>
      <c r="B781" s="646">
        <v>19500</v>
      </c>
      <c r="C781" s="646"/>
      <c r="D781" s="646">
        <v>2400</v>
      </c>
      <c r="E781" s="646">
        <f t="shared" si="55"/>
        <v>21900</v>
      </c>
    </row>
    <row r="782" spans="1:5">
      <c r="A782" s="674" t="s">
        <v>339</v>
      </c>
      <c r="B782" s="646">
        <v>400</v>
      </c>
      <c r="C782" s="646"/>
      <c r="D782" s="646">
        <v>900</v>
      </c>
      <c r="E782" s="646">
        <f t="shared" si="55"/>
        <v>1300</v>
      </c>
    </row>
    <row r="783" spans="1:5">
      <c r="A783" s="658" t="s">
        <v>275</v>
      </c>
      <c r="B783" s="659">
        <f>SUM(B784:B785)</f>
        <v>18400</v>
      </c>
      <c r="C783" s="659">
        <f>SUM(C784:C785)</f>
        <v>5000</v>
      </c>
      <c r="D783" s="659">
        <f>SUM(D784:D785)</f>
        <v>2500</v>
      </c>
      <c r="E783" s="659">
        <f t="shared" si="55"/>
        <v>25900</v>
      </c>
    </row>
    <row r="784" spans="1:5">
      <c r="A784" s="643" t="s">
        <v>6</v>
      </c>
      <c r="B784" s="644">
        <v>14000</v>
      </c>
      <c r="C784" s="644">
        <v>5000</v>
      </c>
      <c r="D784" s="644">
        <v>2000</v>
      </c>
      <c r="E784" s="644">
        <f t="shared" si="55"/>
        <v>21000</v>
      </c>
    </row>
    <row r="785" spans="1:5">
      <c r="A785" s="645" t="s">
        <v>313</v>
      </c>
      <c r="B785" s="646">
        <v>4400</v>
      </c>
      <c r="C785" s="646"/>
      <c r="D785" s="646">
        <v>500</v>
      </c>
      <c r="E785" s="646">
        <f t="shared" si="55"/>
        <v>4900</v>
      </c>
    </row>
    <row r="786" spans="1:5">
      <c r="A786" s="641"/>
      <c r="B786" s="642"/>
      <c r="C786" s="642"/>
      <c r="D786" s="642"/>
      <c r="E786" s="642">
        <f t="shared" si="55"/>
        <v>0</v>
      </c>
    </row>
    <row r="787" spans="1:5">
      <c r="A787" s="658" t="s">
        <v>127</v>
      </c>
      <c r="B787" s="659">
        <f>B788</f>
        <v>9000</v>
      </c>
      <c r="C787" s="659">
        <f>C788</f>
        <v>0</v>
      </c>
      <c r="D787" s="659">
        <f>D788</f>
        <v>0</v>
      </c>
      <c r="E787" s="659">
        <f t="shared" si="55"/>
        <v>9000</v>
      </c>
    </row>
    <row r="788" spans="1:5">
      <c r="A788" s="641" t="s">
        <v>322</v>
      </c>
      <c r="B788" s="642">
        <f>+B789+B790</f>
        <v>9000</v>
      </c>
      <c r="C788" s="642">
        <f>+C789+C790</f>
        <v>0</v>
      </c>
      <c r="D788" s="642">
        <f>+D789+D790</f>
        <v>0</v>
      </c>
      <c r="E788" s="642">
        <f t="shared" si="55"/>
        <v>9000</v>
      </c>
    </row>
    <row r="789" spans="1:5">
      <c r="A789" s="645" t="s">
        <v>9</v>
      </c>
      <c r="B789" s="646">
        <v>2500</v>
      </c>
      <c r="C789" s="646"/>
      <c r="D789" s="646"/>
      <c r="E789" s="646">
        <f t="shared" si="55"/>
        <v>2500</v>
      </c>
    </row>
    <row r="790" spans="1:5">
      <c r="A790" s="645" t="s">
        <v>124</v>
      </c>
      <c r="B790" s="646">
        <v>6500</v>
      </c>
      <c r="C790" s="646"/>
      <c r="D790" s="646"/>
      <c r="E790" s="646">
        <f t="shared" si="55"/>
        <v>6500</v>
      </c>
    </row>
    <row r="791" spans="1:5">
      <c r="A791" s="676"/>
      <c r="B791" s="677"/>
      <c r="C791" s="677"/>
      <c r="D791" s="677"/>
      <c r="E791" s="677">
        <f t="shared" si="55"/>
        <v>0</v>
      </c>
    </row>
    <row r="792" spans="1:5">
      <c r="A792" s="658" t="s">
        <v>128</v>
      </c>
      <c r="B792" s="659">
        <f>B793</f>
        <v>8700</v>
      </c>
      <c r="C792" s="659">
        <f>C793</f>
        <v>0</v>
      </c>
      <c r="D792" s="659">
        <f>D793+D796</f>
        <v>2555</v>
      </c>
      <c r="E792" s="659">
        <f t="shared" si="55"/>
        <v>11255</v>
      </c>
    </row>
    <row r="793" spans="1:5">
      <c r="A793" s="664" t="s">
        <v>322</v>
      </c>
      <c r="B793" s="662">
        <f>B795+B794</f>
        <v>8700</v>
      </c>
      <c r="C793" s="662">
        <f>C795+C794</f>
        <v>0</v>
      </c>
      <c r="D793" s="662">
        <f>D795+D794</f>
        <v>-1300</v>
      </c>
      <c r="E793" s="662">
        <f t="shared" si="55"/>
        <v>7400</v>
      </c>
    </row>
    <row r="794" spans="1:5">
      <c r="A794" s="643" t="s">
        <v>5</v>
      </c>
      <c r="B794" s="644">
        <v>6700</v>
      </c>
      <c r="C794" s="644"/>
      <c r="D794" s="644">
        <v>-1700</v>
      </c>
      <c r="E794" s="644">
        <f t="shared" si="55"/>
        <v>5000</v>
      </c>
    </row>
    <row r="795" spans="1:5">
      <c r="A795" s="645" t="s">
        <v>280</v>
      </c>
      <c r="B795" s="646">
        <v>2000</v>
      </c>
      <c r="C795" s="646"/>
      <c r="D795" s="646">
        <v>400</v>
      </c>
      <c r="E795" s="646">
        <f t="shared" si="55"/>
        <v>2400</v>
      </c>
    </row>
    <row r="796" spans="1:5">
      <c r="A796" s="641" t="s">
        <v>271</v>
      </c>
      <c r="B796" s="646"/>
      <c r="C796" s="646"/>
      <c r="D796" s="646">
        <f>D797</f>
        <v>3855</v>
      </c>
      <c r="E796" s="646">
        <f t="shared" si="55"/>
        <v>3855</v>
      </c>
    </row>
    <row r="797" spans="1:5">
      <c r="A797" s="643" t="s">
        <v>273</v>
      </c>
      <c r="B797" s="646"/>
      <c r="C797" s="646"/>
      <c r="D797" s="646">
        <v>3855</v>
      </c>
      <c r="E797" s="646">
        <f t="shared" si="55"/>
        <v>3855</v>
      </c>
    </row>
    <row r="798" spans="1:5">
      <c r="A798" s="645"/>
      <c r="B798" s="646"/>
      <c r="C798" s="646"/>
      <c r="D798" s="646"/>
      <c r="E798" s="646">
        <f t="shared" si="55"/>
        <v>0</v>
      </c>
    </row>
    <row r="799" spans="1:5">
      <c r="A799" s="641" t="s">
        <v>129</v>
      </c>
      <c r="B799" s="642">
        <f>B800</f>
        <v>324740</v>
      </c>
      <c r="C799" s="642">
        <f>C800</f>
        <v>-60000</v>
      </c>
      <c r="D799" s="642">
        <f>D800</f>
        <v>0</v>
      </c>
      <c r="E799" s="642">
        <f t="shared" si="55"/>
        <v>264740</v>
      </c>
    </row>
    <row r="800" spans="1:5">
      <c r="A800" s="641" t="s">
        <v>286</v>
      </c>
      <c r="B800" s="642">
        <f>SUM(B801:B804)</f>
        <v>324740</v>
      </c>
      <c r="C800" s="642">
        <f>SUM(C801:C804)</f>
        <v>-60000</v>
      </c>
      <c r="D800" s="642">
        <f>SUM(D801:D804)</f>
        <v>0</v>
      </c>
      <c r="E800" s="642">
        <f t="shared" si="55"/>
        <v>264740</v>
      </c>
    </row>
    <row r="801" spans="1:5">
      <c r="A801" s="643" t="s">
        <v>309</v>
      </c>
      <c r="B801" s="644">
        <f>13840+150000</f>
        <v>163840</v>
      </c>
      <c r="C801" s="644">
        <f>-163840+13840</f>
        <v>-150000</v>
      </c>
      <c r="D801" s="644"/>
      <c r="E801" s="644">
        <f t="shared" si="55"/>
        <v>13840</v>
      </c>
    </row>
    <row r="802" spans="1:5">
      <c r="A802" s="643" t="s">
        <v>299</v>
      </c>
      <c r="B802" s="644">
        <v>12450</v>
      </c>
      <c r="C802" s="644">
        <f>-12450+162450-60000</f>
        <v>90000</v>
      </c>
      <c r="D802" s="644"/>
      <c r="E802" s="644">
        <f t="shared" si="55"/>
        <v>102450</v>
      </c>
    </row>
    <row r="803" spans="1:5">
      <c r="A803" s="645" t="s">
        <v>280</v>
      </c>
      <c r="B803" s="646">
        <v>2200</v>
      </c>
      <c r="C803" s="646"/>
      <c r="D803" s="646"/>
      <c r="E803" s="646">
        <f t="shared" si="55"/>
        <v>2200</v>
      </c>
    </row>
    <row r="804" spans="1:5">
      <c r="A804" s="645" t="s">
        <v>306</v>
      </c>
      <c r="B804" s="646">
        <v>146250</v>
      </c>
      <c r="C804" s="646"/>
      <c r="D804" s="646"/>
      <c r="E804" s="646">
        <f t="shared" si="55"/>
        <v>146250</v>
      </c>
    </row>
    <row r="805" spans="1:5">
      <c r="A805" s="645"/>
      <c r="B805" s="646"/>
      <c r="C805" s="646"/>
      <c r="D805" s="646"/>
      <c r="E805" s="646">
        <f t="shared" si="55"/>
        <v>0</v>
      </c>
    </row>
    <row r="806" spans="1:5">
      <c r="A806" s="641" t="s">
        <v>688</v>
      </c>
      <c r="B806" s="642">
        <f>B807+B812</f>
        <v>3325</v>
      </c>
      <c r="C806" s="642">
        <f>C807+C812</f>
        <v>420</v>
      </c>
      <c r="D806" s="642">
        <f>D807+D812</f>
        <v>2085</v>
      </c>
      <c r="E806" s="642">
        <f t="shared" si="55"/>
        <v>5830</v>
      </c>
    </row>
    <row r="807" spans="1:5">
      <c r="A807" s="641" t="s">
        <v>287</v>
      </c>
      <c r="B807" s="642">
        <f>B808+B809+B810</f>
        <v>2005</v>
      </c>
      <c r="C807" s="642">
        <f>C808+C809+C810</f>
        <v>420</v>
      </c>
      <c r="D807" s="642">
        <f>D808+D809+D810</f>
        <v>2085</v>
      </c>
      <c r="E807" s="642">
        <f t="shared" si="55"/>
        <v>4510</v>
      </c>
    </row>
    <row r="808" spans="1:5">
      <c r="A808" s="643" t="s">
        <v>9</v>
      </c>
      <c r="B808" s="644">
        <v>240</v>
      </c>
      <c r="C808" s="644"/>
      <c r="D808" s="644">
        <v>1260</v>
      </c>
      <c r="E808" s="644">
        <f t="shared" si="55"/>
        <v>1500</v>
      </c>
    </row>
    <row r="809" spans="1:5">
      <c r="A809" s="643" t="s">
        <v>300</v>
      </c>
      <c r="B809" s="644">
        <v>730</v>
      </c>
      <c r="C809" s="644">
        <v>420</v>
      </c>
      <c r="D809" s="644">
        <v>595</v>
      </c>
      <c r="E809" s="644">
        <f t="shared" si="55"/>
        <v>1745</v>
      </c>
    </row>
    <row r="810" spans="1:5">
      <c r="A810" s="643" t="s">
        <v>34</v>
      </c>
      <c r="B810" s="644">
        <v>1035</v>
      </c>
      <c r="C810" s="644"/>
      <c r="D810" s="644">
        <v>230</v>
      </c>
      <c r="E810" s="644">
        <f t="shared" si="55"/>
        <v>1265</v>
      </c>
    </row>
    <row r="811" spans="1:5">
      <c r="A811" s="645" t="s">
        <v>298</v>
      </c>
      <c r="B811" s="644"/>
      <c r="C811" s="644"/>
      <c r="D811" s="644"/>
      <c r="E811" s="644">
        <f t="shared" si="55"/>
        <v>0</v>
      </c>
    </row>
    <row r="812" spans="1:5">
      <c r="A812" s="641" t="s">
        <v>271</v>
      </c>
      <c r="B812" s="642">
        <f>B813</f>
        <v>1320</v>
      </c>
      <c r="C812" s="642">
        <f>C813</f>
        <v>0</v>
      </c>
      <c r="D812" s="642">
        <f>D813</f>
        <v>0</v>
      </c>
      <c r="E812" s="642">
        <f t="shared" si="55"/>
        <v>1320</v>
      </c>
    </row>
    <row r="813" spans="1:5">
      <c r="A813" s="643" t="s">
        <v>272</v>
      </c>
      <c r="B813" s="644">
        <v>1320</v>
      </c>
      <c r="C813" s="644"/>
      <c r="D813" s="644"/>
      <c r="E813" s="644">
        <f t="shared" si="55"/>
        <v>1320</v>
      </c>
    </row>
    <row r="814" spans="1:5">
      <c r="A814" s="643"/>
      <c r="B814" s="644"/>
      <c r="C814" s="644"/>
      <c r="D814" s="642"/>
      <c r="E814" s="644"/>
    </row>
    <row r="815" spans="1:5">
      <c r="A815" s="639" t="s">
        <v>130</v>
      </c>
      <c r="B815" s="640">
        <f>+B5+B10+B18+B25+B32+B122+B221+B310+B393+B470+B420+B410+B440+B476+B507+B553+B579+B643+B682+B738+B769+B381</f>
        <v>61803515</v>
      </c>
      <c r="C815" s="640">
        <f>+C5+C10+C18+C25+C32+C122+C221+C310+C393+C470+C420+C410+C440+C476+C507+C553+C579+C643+C682+C738+C769+C381</f>
        <v>-63443</v>
      </c>
      <c r="D815" s="640">
        <f>+D5+D10+D18+D25+D32+D122+D221+D310+D393+D470+D420+D410+D440+D476+D507+D553+D579+D643+D682+D738+D769+D381</f>
        <v>1325417</v>
      </c>
      <c r="E815" s="640">
        <f t="shared" ref="E815" si="56">SUM(B815:D815)</f>
        <v>63065489</v>
      </c>
    </row>
  </sheetData>
  <phoneticPr fontId="24" type="noConversion"/>
  <pageMargins left="1.1811023622047245" right="0.47244094488188981" top="0.47244094488188981" bottom="0.98425196850393704" header="0.51181102362204722" footer="0.51181102362204722"/>
  <pageSetup paperSize="9" fitToHeight="0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99"/>
  <sheetViews>
    <sheetView showZero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52.7109375" customWidth="1"/>
    <col min="2" max="2" width="11.140625" bestFit="1" customWidth="1"/>
    <col min="3" max="3" width="10.42578125" hidden="1" customWidth="1"/>
    <col min="4" max="4" width="10.42578125" style="49" hidden="1" customWidth="1"/>
    <col min="5" max="5" width="12.5703125" customWidth="1"/>
  </cols>
  <sheetData>
    <row r="1" spans="1:5" ht="15">
      <c r="A1" s="15" t="s">
        <v>12</v>
      </c>
    </row>
    <row r="2" spans="1:5" s="49" customFormat="1" ht="15">
      <c r="A2" s="15"/>
      <c r="E2" s="59" t="s">
        <v>134</v>
      </c>
    </row>
    <row r="3" spans="1:5" ht="25.5">
      <c r="A3" s="35"/>
      <c r="B3" s="471" t="s">
        <v>702</v>
      </c>
      <c r="C3" s="471" t="s">
        <v>700</v>
      </c>
      <c r="D3" s="471" t="s">
        <v>1067</v>
      </c>
      <c r="E3" s="471" t="s">
        <v>701</v>
      </c>
    </row>
    <row r="4" spans="1:5">
      <c r="A4" s="12" t="s">
        <v>143</v>
      </c>
      <c r="B4" s="5">
        <f>B5+B6</f>
        <v>79307980</v>
      </c>
      <c r="C4" s="210">
        <f>C5+C6</f>
        <v>10584251</v>
      </c>
      <c r="D4" s="210"/>
      <c r="E4" s="210">
        <f>SUM(B4:D4)</f>
        <v>89892231</v>
      </c>
    </row>
    <row r="5" spans="1:5" s="49" customFormat="1">
      <c r="A5" s="55" t="s">
        <v>17</v>
      </c>
      <c r="B5" s="36">
        <v>76000000</v>
      </c>
      <c r="C5" s="61">
        <v>10000000</v>
      </c>
      <c r="D5" s="61"/>
      <c r="E5" s="61">
        <f t="shared" ref="E5:E68" si="0">SUM(B5:D5)</f>
        <v>86000000</v>
      </c>
    </row>
    <row r="6" spans="1:5" s="49" customFormat="1">
      <c r="A6" s="56" t="s">
        <v>13</v>
      </c>
      <c r="B6" s="36">
        <f>B7+B8+B9</f>
        <v>3307980</v>
      </c>
      <c r="C6" s="36">
        <f>SUM(C7:C10)</f>
        <v>584251</v>
      </c>
      <c r="D6" s="36"/>
      <c r="E6" s="36">
        <f t="shared" si="0"/>
        <v>3892231</v>
      </c>
    </row>
    <row r="7" spans="1:5" s="49" customFormat="1">
      <c r="A7" s="57" t="s">
        <v>677</v>
      </c>
      <c r="B7" s="40">
        <v>2882869</v>
      </c>
      <c r="C7" s="40">
        <v>554869</v>
      </c>
      <c r="D7" s="40"/>
      <c r="E7" s="40">
        <f t="shared" si="0"/>
        <v>3437738</v>
      </c>
    </row>
    <row r="8" spans="1:5" s="49" customFormat="1">
      <c r="A8" s="46" t="s">
        <v>678</v>
      </c>
      <c r="B8" s="40">
        <v>340111</v>
      </c>
      <c r="C8" s="40">
        <v>12471</v>
      </c>
      <c r="D8" s="40"/>
      <c r="E8" s="40">
        <f t="shared" si="0"/>
        <v>352582</v>
      </c>
    </row>
    <row r="9" spans="1:5" s="49" customFormat="1" ht="24">
      <c r="A9" s="241" t="s">
        <v>679</v>
      </c>
      <c r="B9" s="40">
        <v>85000</v>
      </c>
      <c r="C9" s="264"/>
      <c r="D9" s="264"/>
      <c r="E9" s="264">
        <f t="shared" si="0"/>
        <v>85000</v>
      </c>
    </row>
    <row r="10" spans="1:5" s="49" customFormat="1" ht="24">
      <c r="A10" s="258" t="s">
        <v>735</v>
      </c>
      <c r="B10" s="260"/>
      <c r="C10" s="260">
        <v>16911</v>
      </c>
      <c r="D10" s="260"/>
      <c r="E10" s="260">
        <f t="shared" si="0"/>
        <v>16911</v>
      </c>
    </row>
    <row r="11" spans="1:5" s="49" customFormat="1">
      <c r="A11" s="2"/>
      <c r="B11" s="37"/>
      <c r="C11" s="269"/>
      <c r="D11" s="269"/>
      <c r="E11" s="269">
        <f t="shared" si="0"/>
        <v>0</v>
      </c>
    </row>
    <row r="12" spans="1:5" s="49" customFormat="1">
      <c r="A12" s="12" t="s">
        <v>513</v>
      </c>
      <c r="B12" s="210">
        <f>B16</f>
        <v>466632</v>
      </c>
      <c r="C12" s="210"/>
      <c r="D12" s="210">
        <f>D13</f>
        <v>418</v>
      </c>
      <c r="E12" s="210">
        <f t="shared" si="0"/>
        <v>467050</v>
      </c>
    </row>
    <row r="13" spans="1:5" s="49" customFormat="1">
      <c r="A13" s="208" t="s">
        <v>1095</v>
      </c>
      <c r="B13" s="630"/>
      <c r="D13" s="630">
        <f>D14</f>
        <v>418</v>
      </c>
      <c r="E13" s="49">
        <f t="shared" si="0"/>
        <v>418</v>
      </c>
    </row>
    <row r="14" spans="1:5" s="49" customFormat="1">
      <c r="A14" s="209" t="s">
        <v>15</v>
      </c>
      <c r="B14" s="631"/>
      <c r="D14" s="631">
        <f>D15</f>
        <v>418</v>
      </c>
      <c r="E14" s="49">
        <f t="shared" si="0"/>
        <v>418</v>
      </c>
    </row>
    <row r="15" spans="1:5" s="49" customFormat="1" ht="24">
      <c r="A15" s="193" t="s">
        <v>1096</v>
      </c>
      <c r="B15" s="632"/>
      <c r="D15" s="632">
        <v>418</v>
      </c>
      <c r="E15" s="49">
        <f t="shared" si="0"/>
        <v>418</v>
      </c>
    </row>
    <row r="16" spans="1:5" s="49" customFormat="1">
      <c r="A16" s="208" t="s">
        <v>13</v>
      </c>
      <c r="B16" s="211">
        <f>B17+B19</f>
        <v>466632</v>
      </c>
      <c r="C16" s="211"/>
      <c r="D16" s="211"/>
      <c r="E16" s="211">
        <f t="shared" si="0"/>
        <v>466632</v>
      </c>
    </row>
    <row r="17" spans="1:5" s="49" customFormat="1">
      <c r="A17" s="209" t="s">
        <v>165</v>
      </c>
      <c r="B17" s="212">
        <f>B18</f>
        <v>39118</v>
      </c>
      <c r="C17" s="270"/>
      <c r="D17" s="270"/>
      <c r="E17" s="270">
        <f t="shared" si="0"/>
        <v>39118</v>
      </c>
    </row>
    <row r="18" spans="1:5" s="49" customFormat="1" ht="24">
      <c r="A18" s="193" t="s">
        <v>603</v>
      </c>
      <c r="B18" s="234">
        <v>39118</v>
      </c>
      <c r="C18" s="271"/>
      <c r="D18" s="271"/>
      <c r="E18" s="271">
        <f t="shared" si="0"/>
        <v>39118</v>
      </c>
    </row>
    <row r="19" spans="1:5" s="49" customFormat="1">
      <c r="A19" s="209" t="s">
        <v>15</v>
      </c>
      <c r="B19" s="212">
        <f>SUM(B20)</f>
        <v>427514</v>
      </c>
      <c r="C19" s="270"/>
      <c r="D19" s="270"/>
      <c r="E19" s="270">
        <f t="shared" si="0"/>
        <v>427514</v>
      </c>
    </row>
    <row r="20" spans="1:5" s="49" customFormat="1">
      <c r="A20" s="193" t="s">
        <v>610</v>
      </c>
      <c r="B20" s="234">
        <v>427514</v>
      </c>
      <c r="C20" s="271"/>
      <c r="D20" s="271"/>
      <c r="E20" s="271">
        <f t="shared" si="0"/>
        <v>427514</v>
      </c>
    </row>
    <row r="21" spans="1:5" s="49" customFormat="1">
      <c r="A21" s="2"/>
      <c r="B21" s="37"/>
      <c r="C21" s="269"/>
      <c r="D21" s="269"/>
      <c r="E21" s="269">
        <f t="shared" si="0"/>
        <v>0</v>
      </c>
    </row>
    <row r="22" spans="1:5" s="49" customFormat="1">
      <c r="A22" s="12" t="s">
        <v>14</v>
      </c>
      <c r="B22" s="38">
        <f>B23+B73</f>
        <v>20635804</v>
      </c>
      <c r="C22" s="38">
        <f>C23+C73</f>
        <v>668988</v>
      </c>
      <c r="D22" s="38">
        <f>D23+D73</f>
        <v>84256</v>
      </c>
      <c r="E22" s="38">
        <f t="shared" si="0"/>
        <v>21389048</v>
      </c>
    </row>
    <row r="23" spans="1:5" s="49" customFormat="1">
      <c r="A23" s="2" t="s">
        <v>17</v>
      </c>
      <c r="B23" s="36">
        <f>B25+B35+B41+B49+B57+B62+B69</f>
        <v>153510</v>
      </c>
      <c r="C23" s="36">
        <f>C25+C35+C41+C49+C57+C62+C69+C30+C38+C45</f>
        <v>498392</v>
      </c>
      <c r="D23" s="36">
        <f>D25+D35+D41+D49+D57+D62+D69+D30+D38+D45</f>
        <v>84256</v>
      </c>
      <c r="E23" s="36">
        <f t="shared" si="0"/>
        <v>736158</v>
      </c>
    </row>
    <row r="24" spans="1:5" s="49" customFormat="1">
      <c r="A24" s="31"/>
      <c r="B24" s="37"/>
      <c r="C24" s="40"/>
      <c r="D24" s="40"/>
      <c r="E24" s="40">
        <f t="shared" si="0"/>
        <v>0</v>
      </c>
    </row>
    <row r="25" spans="1:5" s="49" customFormat="1">
      <c r="A25" s="213" t="s">
        <v>514</v>
      </c>
      <c r="B25" s="215">
        <f>B26+B27</f>
        <v>19451</v>
      </c>
      <c r="C25" s="251">
        <f>SUM(C26:C28)</f>
        <v>38794</v>
      </c>
      <c r="D25" s="251"/>
      <c r="E25" s="251">
        <f t="shared" si="0"/>
        <v>58245</v>
      </c>
    </row>
    <row r="26" spans="1:5" s="49" customFormat="1">
      <c r="A26" s="242" t="s">
        <v>661</v>
      </c>
      <c r="B26" s="40">
        <v>248</v>
      </c>
      <c r="C26" s="261"/>
      <c r="D26" s="261"/>
      <c r="E26" s="261">
        <f t="shared" si="0"/>
        <v>248</v>
      </c>
    </row>
    <row r="27" spans="1:5" s="49" customFormat="1" ht="13.5" customHeight="1">
      <c r="A27" s="242" t="s">
        <v>657</v>
      </c>
      <c r="B27" s="40">
        <v>19203</v>
      </c>
      <c r="C27" s="261">
        <v>4114</v>
      </c>
      <c r="D27" s="261"/>
      <c r="E27" s="261">
        <f t="shared" si="0"/>
        <v>23317</v>
      </c>
    </row>
    <row r="28" spans="1:5" s="49" customFormat="1" ht="13.5" customHeight="1">
      <c r="A28" s="242" t="s">
        <v>723</v>
      </c>
      <c r="B28" s="261"/>
      <c r="C28" s="261">
        <v>34680</v>
      </c>
      <c r="D28" s="261"/>
      <c r="E28" s="261">
        <f t="shared" si="0"/>
        <v>34680</v>
      </c>
    </row>
    <row r="29" spans="1:5" s="49" customFormat="1">
      <c r="A29" s="243"/>
      <c r="B29" s="216"/>
      <c r="C29" s="262"/>
      <c r="D29" s="262"/>
      <c r="E29" s="262">
        <f t="shared" si="0"/>
        <v>0</v>
      </c>
    </row>
    <row r="30" spans="1:5" s="49" customFormat="1">
      <c r="A30" s="213" t="s">
        <v>177</v>
      </c>
      <c r="B30" s="251"/>
      <c r="C30" s="251">
        <f>C31</f>
        <v>186245</v>
      </c>
      <c r="D30" s="251">
        <f>SUM(D31:D33)</f>
        <v>60836</v>
      </c>
      <c r="E30" s="251">
        <f t="shared" si="0"/>
        <v>247081</v>
      </c>
    </row>
    <row r="31" spans="1:5" s="49" customFormat="1">
      <c r="A31" s="252" t="s">
        <v>718</v>
      </c>
      <c r="B31" s="253"/>
      <c r="C31" s="253">
        <v>186245</v>
      </c>
      <c r="D31" s="253"/>
      <c r="E31" s="253">
        <f t="shared" si="0"/>
        <v>186245</v>
      </c>
    </row>
    <row r="32" spans="1:5" s="49" customFormat="1" ht="24">
      <c r="A32" s="633" t="s">
        <v>1097</v>
      </c>
      <c r="B32" s="634"/>
      <c r="D32" s="634">
        <v>45692</v>
      </c>
      <c r="E32" s="49">
        <f t="shared" si="0"/>
        <v>45692</v>
      </c>
    </row>
    <row r="33" spans="1:5" s="49" customFormat="1">
      <c r="A33" s="635" t="s">
        <v>1098</v>
      </c>
      <c r="B33" s="636"/>
      <c r="D33" s="636">
        <v>15144</v>
      </c>
      <c r="E33" s="49">
        <f t="shared" si="0"/>
        <v>15144</v>
      </c>
    </row>
    <row r="34" spans="1:5" s="49" customFormat="1">
      <c r="A34" s="214"/>
      <c r="B34" s="254"/>
      <c r="C34" s="254"/>
      <c r="D34" s="254"/>
      <c r="E34" s="254">
        <f t="shared" si="0"/>
        <v>0</v>
      </c>
    </row>
    <row r="35" spans="1:5" s="49" customFormat="1">
      <c r="A35" s="62" t="s">
        <v>165</v>
      </c>
      <c r="B35" s="61">
        <f>B36</f>
        <v>28547</v>
      </c>
      <c r="C35" s="263"/>
      <c r="D35" s="263"/>
      <c r="E35" s="263">
        <f t="shared" si="0"/>
        <v>28547</v>
      </c>
    </row>
    <row r="36" spans="1:5" s="49" customFormat="1" ht="36">
      <c r="A36" s="242" t="s">
        <v>589</v>
      </c>
      <c r="B36" s="43">
        <v>28547</v>
      </c>
      <c r="C36" s="261"/>
      <c r="D36" s="261"/>
      <c r="E36" s="261">
        <f t="shared" si="0"/>
        <v>28547</v>
      </c>
    </row>
    <row r="37" spans="1:5" s="49" customFormat="1">
      <c r="A37" s="242"/>
      <c r="B37" s="43"/>
      <c r="C37" s="261"/>
      <c r="D37" s="261"/>
      <c r="E37" s="261">
        <f t="shared" si="0"/>
        <v>0</v>
      </c>
    </row>
    <row r="38" spans="1:5" s="49" customFormat="1">
      <c r="A38" s="62" t="s">
        <v>191</v>
      </c>
      <c r="B38" s="62"/>
      <c r="C38" s="263">
        <f>C39</f>
        <v>25296</v>
      </c>
      <c r="D38" s="263"/>
      <c r="E38" s="263">
        <f t="shared" si="0"/>
        <v>25296</v>
      </c>
    </row>
    <row r="39" spans="1:5" s="49" customFormat="1" ht="24">
      <c r="A39" s="242" t="s">
        <v>724</v>
      </c>
      <c r="B39" s="242"/>
      <c r="C39" s="261">
        <v>25296</v>
      </c>
      <c r="D39" s="261"/>
      <c r="E39" s="261">
        <f t="shared" si="0"/>
        <v>25296</v>
      </c>
    </row>
    <row r="40" spans="1:5" s="49" customFormat="1">
      <c r="A40" s="214"/>
      <c r="B40" s="217"/>
      <c r="C40" s="254"/>
      <c r="D40" s="254"/>
      <c r="E40" s="254">
        <f t="shared" si="0"/>
        <v>0</v>
      </c>
    </row>
    <row r="41" spans="1:5" s="49" customFormat="1">
      <c r="A41" s="62" t="s">
        <v>209</v>
      </c>
      <c r="B41" s="218">
        <f>B42</f>
        <v>12569</v>
      </c>
      <c r="C41" s="263">
        <f>SUM(C42:C43)</f>
        <v>26010</v>
      </c>
      <c r="D41" s="263"/>
      <c r="E41" s="263">
        <f t="shared" si="0"/>
        <v>38579</v>
      </c>
    </row>
    <row r="42" spans="1:5" s="49" customFormat="1">
      <c r="A42" s="32" t="s">
        <v>399</v>
      </c>
      <c r="B42" s="43">
        <v>12569</v>
      </c>
      <c r="C42" s="264"/>
      <c r="D42" s="264"/>
      <c r="E42" s="264">
        <f t="shared" si="0"/>
        <v>12569</v>
      </c>
    </row>
    <row r="43" spans="1:5" s="49" customFormat="1" ht="24">
      <c r="A43" s="32" t="s">
        <v>725</v>
      </c>
      <c r="B43" s="32"/>
      <c r="C43" s="264">
        <v>26010</v>
      </c>
      <c r="D43" s="264"/>
      <c r="E43" s="264">
        <f t="shared" si="0"/>
        <v>26010</v>
      </c>
    </row>
    <row r="44" spans="1:5" s="49" customFormat="1">
      <c r="A44" s="32"/>
      <c r="B44" s="43"/>
      <c r="C44" s="264"/>
      <c r="D44" s="264"/>
      <c r="E44" s="264">
        <f t="shared" si="0"/>
        <v>0</v>
      </c>
    </row>
    <row r="45" spans="1:5" s="49" customFormat="1">
      <c r="A45" s="62" t="s">
        <v>154</v>
      </c>
      <c r="B45" s="62"/>
      <c r="C45" s="263">
        <f>C46</f>
        <v>21930</v>
      </c>
      <c r="D45" s="263">
        <f>SUM(D46:D48)</f>
        <v>6000</v>
      </c>
      <c r="E45" s="263">
        <f t="shared" si="0"/>
        <v>27930</v>
      </c>
    </row>
    <row r="46" spans="1:5" s="49" customFormat="1" ht="25.5">
      <c r="A46" s="259" t="s">
        <v>726</v>
      </c>
      <c r="B46" s="259"/>
      <c r="C46" s="272">
        <v>21930</v>
      </c>
      <c r="D46" s="272"/>
      <c r="E46" s="272">
        <f t="shared" si="0"/>
        <v>21930</v>
      </c>
    </row>
    <row r="47" spans="1:5" s="49" customFormat="1" ht="25.5">
      <c r="A47" s="259" t="s">
        <v>1099</v>
      </c>
      <c r="D47" s="586">
        <v>6000</v>
      </c>
      <c r="E47" s="49">
        <f t="shared" si="0"/>
        <v>6000</v>
      </c>
    </row>
    <row r="48" spans="1:5" s="49" customFormat="1">
      <c r="A48" s="259"/>
      <c r="B48" s="259"/>
      <c r="C48" s="272"/>
      <c r="D48" s="272"/>
      <c r="E48" s="272">
        <f t="shared" si="0"/>
        <v>0</v>
      </c>
    </row>
    <row r="49" spans="1:5" s="49" customFormat="1">
      <c r="A49" s="62" t="s">
        <v>155</v>
      </c>
      <c r="B49" s="61">
        <f>SUM(B50)</f>
        <v>20000</v>
      </c>
      <c r="C49" s="263">
        <f>SUM(C50:C53)</f>
        <v>36650</v>
      </c>
      <c r="D49" s="263">
        <f>SUM(D50:D55)</f>
        <v>10200</v>
      </c>
      <c r="E49" s="263">
        <f t="shared" si="0"/>
        <v>66850</v>
      </c>
    </row>
    <row r="50" spans="1:5" s="49" customFormat="1" ht="24">
      <c r="A50" s="32" t="s">
        <v>660</v>
      </c>
      <c r="B50" s="43">
        <v>20000</v>
      </c>
      <c r="C50" s="264"/>
      <c r="D50" s="264"/>
      <c r="E50" s="264">
        <f t="shared" si="0"/>
        <v>20000</v>
      </c>
    </row>
    <row r="51" spans="1:5" s="49" customFormat="1" ht="24">
      <c r="A51" s="32" t="s">
        <v>736</v>
      </c>
      <c r="B51" s="32"/>
      <c r="C51" s="264">
        <v>19125</v>
      </c>
      <c r="D51" s="264"/>
      <c r="E51" s="264">
        <f t="shared" si="0"/>
        <v>19125</v>
      </c>
    </row>
    <row r="52" spans="1:5" s="49" customFormat="1">
      <c r="A52" s="32" t="s">
        <v>727</v>
      </c>
      <c r="B52" s="32"/>
      <c r="C52" s="264">
        <v>1800</v>
      </c>
      <c r="D52" s="264"/>
      <c r="E52" s="264">
        <f t="shared" si="0"/>
        <v>1800</v>
      </c>
    </row>
    <row r="53" spans="1:5" s="49" customFormat="1">
      <c r="A53" s="32" t="s">
        <v>728</v>
      </c>
      <c r="B53" s="32"/>
      <c r="C53" s="264">
        <v>15725</v>
      </c>
      <c r="D53" s="264"/>
      <c r="E53" s="264">
        <f t="shared" si="0"/>
        <v>15725</v>
      </c>
    </row>
    <row r="54" spans="1:5" s="49" customFormat="1">
      <c r="A54" s="32" t="s">
        <v>1100</v>
      </c>
      <c r="D54" s="637">
        <v>5100</v>
      </c>
      <c r="E54" s="49">
        <f t="shared" si="0"/>
        <v>5100</v>
      </c>
    </row>
    <row r="55" spans="1:5" s="49" customFormat="1" ht="36">
      <c r="A55" s="32" t="s">
        <v>1101</v>
      </c>
      <c r="D55" s="637">
        <v>5100</v>
      </c>
      <c r="E55" s="49">
        <f t="shared" si="0"/>
        <v>5100</v>
      </c>
    </row>
    <row r="56" spans="1:5" s="49" customFormat="1">
      <c r="A56" s="32"/>
      <c r="B56" s="47"/>
      <c r="C56" s="264"/>
      <c r="D56" s="264"/>
      <c r="E56" s="264">
        <f t="shared" si="0"/>
        <v>0</v>
      </c>
    </row>
    <row r="57" spans="1:5" s="49" customFormat="1">
      <c r="A57" s="62" t="s">
        <v>15</v>
      </c>
      <c r="B57" s="61">
        <f>B58</f>
        <v>6118</v>
      </c>
      <c r="C57" s="263">
        <f>SUM(C58:C59)</f>
        <v>32538</v>
      </c>
      <c r="D57" s="263">
        <f>SUM(D58:D61)</f>
        <v>3758</v>
      </c>
      <c r="E57" s="263">
        <f t="shared" si="0"/>
        <v>42414</v>
      </c>
    </row>
    <row r="58" spans="1:5" s="49" customFormat="1" ht="24">
      <c r="A58" s="63" t="s">
        <v>515</v>
      </c>
      <c r="B58" s="43">
        <v>6118</v>
      </c>
      <c r="C58" s="264"/>
      <c r="D58" s="264"/>
      <c r="E58" s="264">
        <f t="shared" si="0"/>
        <v>6118</v>
      </c>
    </row>
    <row r="59" spans="1:5" s="49" customFormat="1" ht="24">
      <c r="A59" s="63" t="s">
        <v>729</v>
      </c>
      <c r="B59" s="63"/>
      <c r="C59" s="264">
        <v>32538</v>
      </c>
      <c r="D59" s="264"/>
      <c r="E59" s="264">
        <f t="shared" si="0"/>
        <v>32538</v>
      </c>
    </row>
    <row r="60" spans="1:5" s="49" customFormat="1" ht="24">
      <c r="A60" s="193" t="s">
        <v>1096</v>
      </c>
      <c r="D60" s="632">
        <v>3758</v>
      </c>
      <c r="E60" s="49">
        <f t="shared" si="0"/>
        <v>3758</v>
      </c>
    </row>
    <row r="61" spans="1:5" s="49" customFormat="1">
      <c r="A61" s="41"/>
      <c r="B61" s="47"/>
      <c r="C61" s="265"/>
      <c r="D61" s="265"/>
      <c r="E61" s="265">
        <f t="shared" si="0"/>
        <v>0</v>
      </c>
    </row>
    <row r="62" spans="1:5" s="49" customFormat="1">
      <c r="A62" s="62" t="s">
        <v>161</v>
      </c>
      <c r="B62" s="61">
        <f>SUM(B63:B63)</f>
        <v>24484</v>
      </c>
      <c r="C62" s="263">
        <f>SUM(C63:C66)</f>
        <v>107979</v>
      </c>
      <c r="D62" s="263">
        <f>SUM(D63:D67)</f>
        <v>3462</v>
      </c>
      <c r="E62" s="263">
        <f t="shared" si="0"/>
        <v>135925</v>
      </c>
    </row>
    <row r="63" spans="1:5" s="49" customFormat="1">
      <c r="A63" s="51" t="s">
        <v>611</v>
      </c>
      <c r="B63" s="43">
        <v>24484</v>
      </c>
      <c r="C63" s="266"/>
      <c r="D63" s="266"/>
      <c r="E63" s="266">
        <f t="shared" si="0"/>
        <v>24484</v>
      </c>
    </row>
    <row r="64" spans="1:5" s="49" customFormat="1">
      <c r="A64" s="51" t="s">
        <v>730</v>
      </c>
      <c r="B64" s="51"/>
      <c r="C64" s="266">
        <v>11878</v>
      </c>
      <c r="D64" s="266"/>
      <c r="E64" s="266">
        <f t="shared" si="0"/>
        <v>11878</v>
      </c>
    </row>
    <row r="65" spans="1:5" s="49" customFormat="1" ht="24">
      <c r="A65" s="51" t="s">
        <v>731</v>
      </c>
      <c r="B65" s="51"/>
      <c r="C65" s="266">
        <v>67310</v>
      </c>
      <c r="D65" s="266"/>
      <c r="E65" s="266">
        <f t="shared" si="0"/>
        <v>67310</v>
      </c>
    </row>
    <row r="66" spans="1:5" s="49" customFormat="1" ht="24">
      <c r="A66" s="267" t="s">
        <v>737</v>
      </c>
      <c r="B66" s="267"/>
      <c r="C66" s="273">
        <v>28791</v>
      </c>
      <c r="D66" s="273"/>
      <c r="E66" s="273">
        <f t="shared" si="0"/>
        <v>28791</v>
      </c>
    </row>
    <row r="67" spans="1:5" s="49" customFormat="1">
      <c r="A67" s="267" t="s">
        <v>1102</v>
      </c>
      <c r="D67" s="638">
        <v>3462</v>
      </c>
      <c r="E67" s="49">
        <f t="shared" si="0"/>
        <v>3462</v>
      </c>
    </row>
    <row r="68" spans="1:5" s="49" customFormat="1">
      <c r="A68" s="51"/>
      <c r="B68" s="43"/>
      <c r="C68" s="266"/>
      <c r="D68" s="266"/>
      <c r="E68" s="266">
        <f t="shared" si="0"/>
        <v>0</v>
      </c>
    </row>
    <row r="69" spans="1:5" s="49" customFormat="1">
      <c r="A69" s="62" t="s">
        <v>157</v>
      </c>
      <c r="B69" s="61">
        <f>SUM(B70)</f>
        <v>42341</v>
      </c>
      <c r="C69" s="263">
        <f>SUM(C70:C71)</f>
        <v>22950</v>
      </c>
      <c r="D69" s="263"/>
      <c r="E69" s="263">
        <f t="shared" ref="E69:E99" si="1">SUM(B69:D69)</f>
        <v>65291</v>
      </c>
    </row>
    <row r="70" spans="1:5" s="49" customFormat="1">
      <c r="A70" s="51" t="s">
        <v>654</v>
      </c>
      <c r="B70" s="43">
        <v>42341</v>
      </c>
      <c r="C70" s="266"/>
      <c r="D70" s="266"/>
      <c r="E70" s="266">
        <f t="shared" si="1"/>
        <v>42341</v>
      </c>
    </row>
    <row r="71" spans="1:5" s="49" customFormat="1" ht="24">
      <c r="A71" s="51" t="s">
        <v>732</v>
      </c>
      <c r="B71" s="51"/>
      <c r="C71" s="266">
        <v>22950</v>
      </c>
      <c r="D71" s="266"/>
      <c r="E71" s="266">
        <f t="shared" si="1"/>
        <v>22950</v>
      </c>
    </row>
    <row r="72" spans="1:5" s="49" customFormat="1">
      <c r="A72" s="41"/>
      <c r="B72" s="37"/>
      <c r="C72" s="265"/>
      <c r="D72" s="265"/>
      <c r="E72" s="265">
        <f t="shared" si="1"/>
        <v>0</v>
      </c>
    </row>
    <row r="73" spans="1:5" s="49" customFormat="1">
      <c r="A73" s="42" t="s">
        <v>13</v>
      </c>
      <c r="B73" s="36">
        <f>B75+B79+B82</f>
        <v>20482294</v>
      </c>
      <c r="C73" s="36">
        <f>C75+C79+C82+C93+C96</f>
        <v>170596</v>
      </c>
      <c r="D73" s="36"/>
      <c r="E73" s="36">
        <f t="shared" si="1"/>
        <v>20652890</v>
      </c>
    </row>
    <row r="74" spans="1:5" s="49" customFormat="1">
      <c r="A74" s="42"/>
      <c r="B74" s="36"/>
      <c r="C74" s="36"/>
      <c r="D74" s="36"/>
      <c r="E74" s="36">
        <f t="shared" si="1"/>
        <v>0</v>
      </c>
    </row>
    <row r="75" spans="1:5" s="49" customFormat="1">
      <c r="A75" s="62" t="s">
        <v>577</v>
      </c>
      <c r="B75" s="61">
        <f>B76+B77</f>
        <v>2847500</v>
      </c>
      <c r="C75" s="263"/>
      <c r="D75" s="263"/>
      <c r="E75" s="263">
        <f t="shared" si="1"/>
        <v>2847500</v>
      </c>
    </row>
    <row r="76" spans="1:5" s="49" customFormat="1">
      <c r="A76" s="51" t="s">
        <v>590</v>
      </c>
      <c r="B76" s="43">
        <v>2125000</v>
      </c>
      <c r="C76" s="266"/>
      <c r="D76" s="266"/>
      <c r="E76" s="266">
        <f t="shared" si="1"/>
        <v>2125000</v>
      </c>
    </row>
    <row r="77" spans="1:5" s="49" customFormat="1">
      <c r="A77" s="51" t="s">
        <v>591</v>
      </c>
      <c r="B77" s="43">
        <v>722500</v>
      </c>
      <c r="C77" s="266"/>
      <c r="D77" s="266"/>
      <c r="E77" s="266">
        <f t="shared" si="1"/>
        <v>722500</v>
      </c>
    </row>
    <row r="78" spans="1:5" s="49" customFormat="1">
      <c r="A78" s="42"/>
      <c r="B78" s="36"/>
      <c r="C78" s="36"/>
      <c r="D78" s="36"/>
      <c r="E78" s="36">
        <f t="shared" si="1"/>
        <v>0</v>
      </c>
    </row>
    <row r="79" spans="1:5" s="49" customFormat="1">
      <c r="A79" s="62" t="s">
        <v>187</v>
      </c>
      <c r="B79" s="61">
        <f>B80</f>
        <v>221667</v>
      </c>
      <c r="C79" s="263"/>
      <c r="D79" s="263"/>
      <c r="E79" s="263">
        <f t="shared" si="1"/>
        <v>221667</v>
      </c>
    </row>
    <row r="80" spans="1:5" s="49" customFormat="1" ht="24">
      <c r="A80" s="39" t="s">
        <v>603</v>
      </c>
      <c r="B80" s="43">
        <v>221667</v>
      </c>
      <c r="C80" s="264"/>
      <c r="D80" s="264"/>
      <c r="E80" s="264">
        <f t="shared" si="1"/>
        <v>221667</v>
      </c>
    </row>
    <row r="81" spans="1:5" s="49" customFormat="1">
      <c r="A81" s="47"/>
      <c r="B81" s="37"/>
      <c r="C81" s="274"/>
      <c r="D81" s="274"/>
      <c r="E81" s="274">
        <f t="shared" si="1"/>
        <v>0</v>
      </c>
    </row>
    <row r="82" spans="1:5" s="49" customFormat="1">
      <c r="A82" s="62" t="s">
        <v>15</v>
      </c>
      <c r="B82" s="61">
        <f>SUM(B83,B87)</f>
        <v>17413127</v>
      </c>
      <c r="C82" s="263"/>
      <c r="D82" s="263"/>
      <c r="E82" s="263">
        <f t="shared" si="1"/>
        <v>17413127</v>
      </c>
    </row>
    <row r="83" spans="1:5">
      <c r="A83" s="39" t="s">
        <v>612</v>
      </c>
      <c r="B83" s="40">
        <f>SUM(B84:B86)</f>
        <v>15760727</v>
      </c>
      <c r="C83" s="264"/>
      <c r="D83" s="264"/>
      <c r="E83" s="264">
        <f t="shared" si="1"/>
        <v>15760727</v>
      </c>
    </row>
    <row r="84" spans="1:5">
      <c r="A84" s="244" t="s">
        <v>613</v>
      </c>
      <c r="B84" s="245">
        <v>5846232</v>
      </c>
      <c r="C84" s="268"/>
      <c r="D84" s="268"/>
      <c r="E84" s="268">
        <f t="shared" si="1"/>
        <v>5846232</v>
      </c>
    </row>
    <row r="85" spans="1:5">
      <c r="A85" s="246" t="s">
        <v>614</v>
      </c>
      <c r="B85" s="245">
        <v>8479036</v>
      </c>
      <c r="C85" s="268"/>
      <c r="D85" s="268"/>
      <c r="E85" s="268">
        <f t="shared" si="1"/>
        <v>8479036</v>
      </c>
    </row>
    <row r="86" spans="1:5">
      <c r="A86" s="246" t="s">
        <v>615</v>
      </c>
      <c r="B86" s="245">
        <v>1435459</v>
      </c>
      <c r="C86" s="268"/>
      <c r="D86" s="268"/>
      <c r="E86" s="268">
        <f t="shared" si="1"/>
        <v>1435459</v>
      </c>
    </row>
    <row r="87" spans="1:5">
      <c r="A87" s="39" t="s">
        <v>616</v>
      </c>
      <c r="B87" s="247">
        <f>SUM(B88:B90)</f>
        <v>1652400</v>
      </c>
      <c r="C87" s="247">
        <f>SUM(C88:C91)</f>
        <v>0</v>
      </c>
      <c r="D87" s="247"/>
      <c r="E87" s="247">
        <f t="shared" si="1"/>
        <v>1652400</v>
      </c>
    </row>
    <row r="88" spans="1:5">
      <c r="A88" s="244" t="s">
        <v>617</v>
      </c>
      <c r="B88" s="245">
        <v>1147500</v>
      </c>
      <c r="C88" s="268"/>
      <c r="D88" s="268"/>
      <c r="E88" s="268">
        <f t="shared" si="1"/>
        <v>1147500</v>
      </c>
    </row>
    <row r="89" spans="1:5">
      <c r="A89" s="246" t="s">
        <v>618</v>
      </c>
      <c r="B89" s="245">
        <v>357000</v>
      </c>
      <c r="C89" s="268">
        <v>-244297</v>
      </c>
      <c r="D89" s="268"/>
      <c r="E89" s="268">
        <f t="shared" si="1"/>
        <v>112703</v>
      </c>
    </row>
    <row r="90" spans="1:5">
      <c r="A90" s="246" t="s">
        <v>619</v>
      </c>
      <c r="B90" s="245">
        <v>147900</v>
      </c>
      <c r="C90" s="268"/>
      <c r="D90" s="268"/>
      <c r="E90" s="268">
        <f t="shared" si="1"/>
        <v>147900</v>
      </c>
    </row>
    <row r="91" spans="1:5" ht="22.5">
      <c r="A91" s="246" t="s">
        <v>733</v>
      </c>
      <c r="B91" s="246"/>
      <c r="C91" s="268">
        <v>244297</v>
      </c>
      <c r="D91" s="268"/>
      <c r="E91" s="268">
        <f t="shared" si="1"/>
        <v>244297</v>
      </c>
    </row>
    <row r="92" spans="1:5">
      <c r="A92" s="246"/>
      <c r="B92" s="246"/>
      <c r="C92" s="268"/>
      <c r="D92" s="268"/>
      <c r="E92" s="268">
        <f t="shared" si="1"/>
        <v>0</v>
      </c>
    </row>
    <row r="93" spans="1:5">
      <c r="A93" s="62" t="s">
        <v>161</v>
      </c>
      <c r="B93" s="62"/>
      <c r="C93" s="263">
        <f>SUM(C94)</f>
        <v>62857</v>
      </c>
      <c r="D93" s="263"/>
      <c r="E93" s="263">
        <f t="shared" si="1"/>
        <v>62857</v>
      </c>
    </row>
    <row r="94" spans="1:5" ht="24">
      <c r="A94" s="51" t="s">
        <v>731</v>
      </c>
      <c r="B94" s="51"/>
      <c r="C94" s="266">
        <v>62857</v>
      </c>
      <c r="D94" s="266"/>
      <c r="E94" s="266">
        <f t="shared" si="1"/>
        <v>62857</v>
      </c>
    </row>
    <row r="95" spans="1:5">
      <c r="A95" s="51"/>
      <c r="B95" s="51"/>
      <c r="C95" s="266"/>
      <c r="D95" s="266"/>
      <c r="E95" s="266">
        <f t="shared" si="1"/>
        <v>0</v>
      </c>
    </row>
    <row r="96" spans="1:5">
      <c r="A96" s="62" t="s">
        <v>734</v>
      </c>
      <c r="B96" s="62"/>
      <c r="C96" s="263">
        <f>C97</f>
        <v>107739</v>
      </c>
      <c r="D96" s="263"/>
      <c r="E96" s="263">
        <f t="shared" si="1"/>
        <v>107739</v>
      </c>
    </row>
    <row r="97" spans="1:5">
      <c r="A97" s="51" t="s">
        <v>738</v>
      </c>
      <c r="B97" s="51"/>
      <c r="C97" s="266">
        <v>107739</v>
      </c>
      <c r="D97" s="266"/>
      <c r="E97" s="266">
        <f t="shared" si="1"/>
        <v>107739</v>
      </c>
    </row>
    <row r="98" spans="1:5">
      <c r="A98" s="33"/>
      <c r="B98" s="43"/>
      <c r="C98" s="275"/>
      <c r="D98" s="275"/>
      <c r="E98" s="266">
        <f t="shared" si="1"/>
        <v>0</v>
      </c>
    </row>
    <row r="99" spans="1:5">
      <c r="A99" s="248" t="s">
        <v>16</v>
      </c>
      <c r="B99" s="38">
        <f>B4+B22+B12</f>
        <v>100410416</v>
      </c>
      <c r="C99" s="38">
        <f>C4+C22+C12</f>
        <v>11253239</v>
      </c>
      <c r="D99" s="38">
        <f>D4+D22+D12</f>
        <v>84674</v>
      </c>
      <c r="E99" s="38">
        <f t="shared" si="1"/>
        <v>111748329</v>
      </c>
    </row>
  </sheetData>
  <phoneticPr fontId="29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0"/>
  <sheetViews>
    <sheetView showZeros="0" zoomScaleNormal="100" zoomScaleSheetLayoutView="85" workbookViewId="0">
      <pane xSplit="2" ySplit="3" topLeftCell="C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2.75"/>
  <cols>
    <col min="1" max="1" width="47.42578125" style="281" customWidth="1"/>
    <col min="2" max="2" width="14.5703125" style="279" customWidth="1"/>
    <col min="3" max="4" width="12.7109375" style="278" hidden="1" customWidth="1"/>
    <col min="5" max="5" width="14.140625" style="279" bestFit="1" customWidth="1"/>
    <col min="6" max="16384" width="9.140625" style="278"/>
  </cols>
  <sheetData>
    <row r="1" spans="1:6" ht="15">
      <c r="A1" s="25" t="s">
        <v>1058</v>
      </c>
    </row>
    <row r="2" spans="1:6" ht="15" customHeight="1">
      <c r="E2" s="59" t="s">
        <v>134</v>
      </c>
    </row>
    <row r="3" spans="1:6" ht="25.5" customHeight="1">
      <c r="B3" s="354" t="s">
        <v>702</v>
      </c>
      <c r="C3" s="353" t="s">
        <v>700</v>
      </c>
      <c r="D3" s="354" t="s">
        <v>1067</v>
      </c>
      <c r="E3" s="681" t="s">
        <v>701</v>
      </c>
    </row>
    <row r="4" spans="1:6" ht="15.75">
      <c r="A4" s="65" t="s">
        <v>37</v>
      </c>
      <c r="B4" s="283"/>
      <c r="E4" s="283"/>
    </row>
    <row r="5" spans="1:6">
      <c r="A5" s="66"/>
      <c r="B5" s="283"/>
      <c r="E5" s="598"/>
    </row>
    <row r="6" spans="1:6">
      <c r="A6" s="66" t="s">
        <v>168</v>
      </c>
      <c r="B6" s="284">
        <f>B12+B15+B18+B21</f>
        <v>2087042</v>
      </c>
      <c r="C6" s="284">
        <f t="shared" ref="C6" si="0">C12+C15+C18+C21</f>
        <v>24783</v>
      </c>
      <c r="D6" s="284">
        <f>D12+D15+D18+D21</f>
        <v>-3487</v>
      </c>
      <c r="E6" s="284">
        <f>SUM(B6:D6)</f>
        <v>2108338</v>
      </c>
    </row>
    <row r="7" spans="1:6">
      <c r="A7" s="67" t="s">
        <v>185</v>
      </c>
      <c r="B7" s="285">
        <v>85075</v>
      </c>
      <c r="C7" s="280"/>
      <c r="D7" s="599">
        <v>0</v>
      </c>
      <c r="E7" s="285">
        <f t="shared" ref="E7:E70" si="1">SUM(B7:D7)</f>
        <v>85075</v>
      </c>
    </row>
    <row r="8" spans="1:6">
      <c r="A8" s="68" t="s">
        <v>169</v>
      </c>
      <c r="B8" s="284">
        <f>B9+B10</f>
        <v>2087042</v>
      </c>
      <c r="C8" s="284">
        <f t="shared" ref="C8" si="2">C9+C10</f>
        <v>24783</v>
      </c>
      <c r="D8" s="284">
        <f>D9+D10</f>
        <v>-3487</v>
      </c>
      <c r="E8" s="284">
        <f t="shared" si="1"/>
        <v>2108338</v>
      </c>
    </row>
    <row r="9" spans="1:6">
      <c r="A9" s="67" t="s">
        <v>170</v>
      </c>
      <c r="B9" s="285">
        <v>27617</v>
      </c>
      <c r="C9" s="285">
        <v>-170</v>
      </c>
      <c r="D9" s="285"/>
      <c r="E9" s="285">
        <f t="shared" si="1"/>
        <v>27447</v>
      </c>
    </row>
    <row r="10" spans="1:6" s="286" customFormat="1">
      <c r="A10" s="69" t="s">
        <v>171</v>
      </c>
      <c r="B10" s="285">
        <f>B6-B9</f>
        <v>2059425</v>
      </c>
      <c r="C10" s="285">
        <f t="shared" ref="C10" si="3">C6-C9</f>
        <v>24953</v>
      </c>
      <c r="D10" s="285">
        <f>D6-D9</f>
        <v>-3487</v>
      </c>
      <c r="E10" s="285">
        <f t="shared" si="1"/>
        <v>2080891</v>
      </c>
      <c r="F10" s="250"/>
    </row>
    <row r="11" spans="1:6">
      <c r="A11" s="69"/>
      <c r="B11" s="288"/>
      <c r="C11" s="280"/>
      <c r="D11" s="600">
        <v>0</v>
      </c>
      <c r="E11" s="288">
        <f t="shared" si="1"/>
        <v>0</v>
      </c>
    </row>
    <row r="12" spans="1:6">
      <c r="A12" s="70" t="s">
        <v>37</v>
      </c>
      <c r="B12" s="71">
        <f>1252029+9634+1479</f>
        <v>1263142</v>
      </c>
      <c r="C12" s="71">
        <v>19830</v>
      </c>
      <c r="D12" s="601">
        <v>5483</v>
      </c>
      <c r="E12" s="71">
        <f t="shared" si="1"/>
        <v>1288455</v>
      </c>
    </row>
    <row r="13" spans="1:6">
      <c r="A13" s="72" t="s">
        <v>173</v>
      </c>
      <c r="B13" s="289">
        <f>749768+1+7200+1105</f>
        <v>758074</v>
      </c>
      <c r="C13" s="288"/>
      <c r="D13" s="602">
        <v>-2607</v>
      </c>
      <c r="E13" s="289">
        <f t="shared" si="1"/>
        <v>755467</v>
      </c>
    </row>
    <row r="14" spans="1:6">
      <c r="A14" s="73"/>
      <c r="B14" s="288"/>
      <c r="C14" s="288"/>
      <c r="D14" s="602"/>
      <c r="E14" s="288">
        <f t="shared" si="1"/>
        <v>0</v>
      </c>
    </row>
    <row r="15" spans="1:6">
      <c r="A15" s="70" t="s">
        <v>706</v>
      </c>
      <c r="B15" s="288">
        <v>763928</v>
      </c>
      <c r="C15" s="288">
        <v>24953</v>
      </c>
      <c r="D15" s="602"/>
      <c r="E15" s="288">
        <f t="shared" si="1"/>
        <v>788881</v>
      </c>
    </row>
    <row r="16" spans="1:6">
      <c r="A16" s="72" t="s">
        <v>173</v>
      </c>
      <c r="B16" s="289">
        <v>554174</v>
      </c>
      <c r="C16" s="289">
        <v>18762</v>
      </c>
      <c r="D16" s="602">
        <v>0</v>
      </c>
      <c r="E16" s="289">
        <f t="shared" si="1"/>
        <v>572936</v>
      </c>
    </row>
    <row r="17" spans="1:6">
      <c r="A17" s="290"/>
      <c r="B17" s="288"/>
      <c r="C17" s="288"/>
      <c r="D17" s="602">
        <v>0</v>
      </c>
      <c r="E17" s="288">
        <f t="shared" si="1"/>
        <v>0</v>
      </c>
    </row>
    <row r="18" spans="1:6">
      <c r="A18" s="74" t="s">
        <v>38</v>
      </c>
      <c r="B18" s="288">
        <v>49000</v>
      </c>
      <c r="C18" s="288">
        <v>-20000</v>
      </c>
      <c r="D18" s="600">
        <v>0</v>
      </c>
      <c r="E18" s="288">
        <f t="shared" si="1"/>
        <v>29000</v>
      </c>
    </row>
    <row r="19" spans="1:6">
      <c r="A19" s="72" t="s">
        <v>173</v>
      </c>
      <c r="B19" s="289">
        <v>18000</v>
      </c>
      <c r="C19" s="289">
        <v>-8000</v>
      </c>
      <c r="D19" s="602">
        <v>-8500</v>
      </c>
      <c r="E19" s="289">
        <f t="shared" si="1"/>
        <v>1500</v>
      </c>
    </row>
    <row r="20" spans="1:6">
      <c r="A20" s="72"/>
      <c r="B20" s="289"/>
      <c r="D20" s="602">
        <v>0</v>
      </c>
      <c r="E20" s="289">
        <f t="shared" si="1"/>
        <v>0</v>
      </c>
    </row>
    <row r="21" spans="1:6">
      <c r="A21" s="74" t="s">
        <v>565</v>
      </c>
      <c r="B21" s="288">
        <v>10972</v>
      </c>
      <c r="D21" s="600">
        <v>-8970</v>
      </c>
      <c r="E21" s="288">
        <f t="shared" si="1"/>
        <v>2002</v>
      </c>
    </row>
    <row r="22" spans="1:6">
      <c r="A22" s="72" t="s">
        <v>173</v>
      </c>
      <c r="B22" s="289">
        <v>8200</v>
      </c>
      <c r="D22" s="602">
        <v>-8200</v>
      </c>
      <c r="E22" s="289">
        <f t="shared" si="1"/>
        <v>0</v>
      </c>
    </row>
    <row r="23" spans="1:6">
      <c r="A23" s="72"/>
      <c r="B23" s="289"/>
      <c r="E23" s="289">
        <f t="shared" si="1"/>
        <v>0</v>
      </c>
    </row>
    <row r="24" spans="1:6">
      <c r="A24" s="282"/>
      <c r="B24" s="288"/>
      <c r="E24" s="288">
        <f t="shared" si="1"/>
        <v>0</v>
      </c>
    </row>
    <row r="25" spans="1:6" ht="15.75">
      <c r="A25" s="75" t="s">
        <v>167</v>
      </c>
      <c r="B25" s="288"/>
      <c r="E25" s="288">
        <f t="shared" si="1"/>
        <v>0</v>
      </c>
    </row>
    <row r="26" spans="1:6">
      <c r="A26" s="290"/>
      <c r="B26" s="288"/>
      <c r="E26" s="288">
        <f t="shared" si="1"/>
        <v>0</v>
      </c>
    </row>
    <row r="27" spans="1:6">
      <c r="A27" s="66" t="s">
        <v>168</v>
      </c>
      <c r="B27" s="284">
        <f>B34+B38+B41+B43+B45+B47+B50+B53+B56+B58+B60+B62+B65+B71+B74+B76+B78+B81+B84+B86+B96+B99+B104</f>
        <v>21268803</v>
      </c>
      <c r="C27" s="284">
        <f>C34+C38+C41+C43+C45+C47+C50+C53+C56+C58+C60+C62+C65+C71+C74+C76+C78+C81+C84+C86+C96+C99+C104+C36+C108</f>
        <v>1452577</v>
      </c>
      <c r="D27" s="284">
        <f>D34+D38+D41+D43+D45+D47+D50+D53+D56+D58+D60+D62+D65+D71+D74+D76+D78+D81+D84+D86+D96+D99+D104+D36+D108</f>
        <v>13493</v>
      </c>
      <c r="E27" s="284">
        <f t="shared" si="1"/>
        <v>22734873</v>
      </c>
    </row>
    <row r="28" spans="1:6">
      <c r="A28" s="67" t="s">
        <v>185</v>
      </c>
      <c r="B28" s="285">
        <v>958675</v>
      </c>
      <c r="C28" s="280"/>
      <c r="D28" s="280"/>
      <c r="E28" s="285">
        <f t="shared" si="1"/>
        <v>958675</v>
      </c>
    </row>
    <row r="29" spans="1:6">
      <c r="A29" s="68" t="s">
        <v>169</v>
      </c>
      <c r="B29" s="284">
        <f>B30+B32+B31</f>
        <v>21268803</v>
      </c>
      <c r="C29" s="284">
        <f t="shared" ref="C29:D29" si="4">C30+C32+C31</f>
        <v>1452577</v>
      </c>
      <c r="D29" s="284">
        <f t="shared" si="4"/>
        <v>13493</v>
      </c>
      <c r="E29" s="284">
        <f t="shared" si="1"/>
        <v>22734873</v>
      </c>
    </row>
    <row r="30" spans="1:6">
      <c r="A30" s="67" t="s">
        <v>170</v>
      </c>
      <c r="B30" s="285">
        <v>671159</v>
      </c>
      <c r="C30" s="285">
        <v>-100000</v>
      </c>
      <c r="D30" s="285"/>
      <c r="E30" s="285">
        <f t="shared" si="1"/>
        <v>571159</v>
      </c>
    </row>
    <row r="31" spans="1:6">
      <c r="A31" s="69" t="s">
        <v>152</v>
      </c>
      <c r="B31" s="285">
        <v>19451</v>
      </c>
      <c r="C31" s="285">
        <v>38794</v>
      </c>
      <c r="D31" s="285"/>
      <c r="E31" s="285">
        <f t="shared" si="1"/>
        <v>58245</v>
      </c>
    </row>
    <row r="32" spans="1:6" s="286" customFormat="1">
      <c r="A32" s="69" t="s">
        <v>171</v>
      </c>
      <c r="B32" s="285">
        <f>B27-B30-B31</f>
        <v>20578193</v>
      </c>
      <c r="C32" s="285">
        <f t="shared" ref="C32:D32" si="5">C27-C30-C31</f>
        <v>1513783</v>
      </c>
      <c r="D32" s="285">
        <f t="shared" si="5"/>
        <v>13493</v>
      </c>
      <c r="E32" s="285">
        <f t="shared" si="1"/>
        <v>22105469</v>
      </c>
      <c r="F32" s="250"/>
    </row>
    <row r="33" spans="1:5">
      <c r="A33" s="290"/>
      <c r="B33" s="288"/>
      <c r="C33" s="280"/>
      <c r="D33" s="280"/>
      <c r="E33" s="288">
        <f t="shared" si="1"/>
        <v>0</v>
      </c>
    </row>
    <row r="34" spans="1:5">
      <c r="A34" s="291" t="s">
        <v>626</v>
      </c>
      <c r="B34" s="288">
        <f>3437167-4115</f>
        <v>3433052</v>
      </c>
      <c r="C34" s="280">
        <v>-169408</v>
      </c>
      <c r="D34" s="280">
        <v>-355926</v>
      </c>
      <c r="E34" s="288">
        <f t="shared" si="1"/>
        <v>2907718</v>
      </c>
    </row>
    <row r="35" spans="1:5">
      <c r="A35" s="291"/>
      <c r="B35" s="288"/>
      <c r="C35" s="280"/>
      <c r="D35" s="280"/>
      <c r="E35" s="288">
        <f t="shared" si="1"/>
        <v>0</v>
      </c>
    </row>
    <row r="36" spans="1:5">
      <c r="A36" s="77" t="s">
        <v>745</v>
      </c>
      <c r="B36" s="288"/>
      <c r="C36" s="280">
        <v>796074</v>
      </c>
      <c r="D36" s="280">
        <v>355926</v>
      </c>
      <c r="E36" s="288">
        <f t="shared" si="1"/>
        <v>1152000</v>
      </c>
    </row>
    <row r="37" spans="1:5" ht="14.25" customHeight="1">
      <c r="A37" s="291"/>
      <c r="B37" s="288"/>
      <c r="C37" s="280"/>
      <c r="D37" s="280"/>
      <c r="E37" s="288">
        <f t="shared" si="1"/>
        <v>0</v>
      </c>
    </row>
    <row r="38" spans="1:5">
      <c r="A38" s="291" t="s">
        <v>400</v>
      </c>
      <c r="B38" s="288">
        <v>2215105</v>
      </c>
      <c r="C38" s="280">
        <v>100000</v>
      </c>
      <c r="D38" s="280"/>
      <c r="E38" s="288">
        <f t="shared" si="1"/>
        <v>2315105</v>
      </c>
    </row>
    <row r="39" spans="1:5">
      <c r="A39" s="78" t="s">
        <v>173</v>
      </c>
      <c r="B39" s="289">
        <v>22420</v>
      </c>
      <c r="C39" s="280"/>
      <c r="D39" s="280"/>
      <c r="E39" s="289">
        <f t="shared" si="1"/>
        <v>22420</v>
      </c>
    </row>
    <row r="40" spans="1:5">
      <c r="A40" s="78"/>
      <c r="B40" s="288"/>
      <c r="C40" s="280"/>
      <c r="D40" s="280"/>
      <c r="E40" s="288">
        <f t="shared" si="1"/>
        <v>0</v>
      </c>
    </row>
    <row r="41" spans="1:5">
      <c r="A41" s="291" t="s">
        <v>435</v>
      </c>
      <c r="B41" s="288">
        <v>203220</v>
      </c>
      <c r="C41" s="280"/>
      <c r="D41" s="288">
        <v>45000</v>
      </c>
      <c r="E41" s="288">
        <f t="shared" si="1"/>
        <v>248220</v>
      </c>
    </row>
    <row r="42" spans="1:5">
      <c r="A42" s="291"/>
      <c r="B42" s="288"/>
      <c r="C42" s="280"/>
      <c r="D42" s="280"/>
      <c r="E42" s="288">
        <f t="shared" si="1"/>
        <v>0</v>
      </c>
    </row>
    <row r="43" spans="1:5">
      <c r="A43" s="291" t="s">
        <v>437</v>
      </c>
      <c r="B43" s="288">
        <v>215565</v>
      </c>
      <c r="C43" s="280">
        <v>6891</v>
      </c>
      <c r="D43" s="600">
        <v>10000</v>
      </c>
      <c r="E43" s="288">
        <f t="shared" si="1"/>
        <v>232456</v>
      </c>
    </row>
    <row r="44" spans="1:5">
      <c r="A44" s="291"/>
      <c r="B44" s="306"/>
      <c r="C44" s="280"/>
      <c r="D44" s="280"/>
      <c r="E44" s="306">
        <f t="shared" si="1"/>
        <v>0</v>
      </c>
    </row>
    <row r="45" spans="1:5">
      <c r="A45" s="291" t="s">
        <v>401</v>
      </c>
      <c r="B45" s="288">
        <v>2415837</v>
      </c>
      <c r="C45" s="280">
        <v>39200</v>
      </c>
      <c r="D45" s="600">
        <v>22775</v>
      </c>
      <c r="E45" s="288">
        <f t="shared" si="1"/>
        <v>2477812</v>
      </c>
    </row>
    <row r="46" spans="1:5">
      <c r="A46" s="291"/>
      <c r="B46" s="306"/>
      <c r="C46" s="280"/>
      <c r="D46" s="280"/>
      <c r="E46" s="306">
        <f t="shared" si="1"/>
        <v>0</v>
      </c>
    </row>
    <row r="47" spans="1:5">
      <c r="A47" s="291" t="s">
        <v>414</v>
      </c>
      <c r="B47" s="288">
        <v>1378807</v>
      </c>
      <c r="C47" s="280">
        <v>35000</v>
      </c>
      <c r="D47" s="600">
        <v>25000</v>
      </c>
      <c r="E47" s="288">
        <f t="shared" si="1"/>
        <v>1438807</v>
      </c>
    </row>
    <row r="48" spans="1:5">
      <c r="A48" s="78" t="s">
        <v>173</v>
      </c>
      <c r="B48" s="289">
        <v>5000</v>
      </c>
      <c r="C48" s="280"/>
      <c r="D48" s="280"/>
      <c r="E48" s="289">
        <f t="shared" si="1"/>
        <v>5000</v>
      </c>
    </row>
    <row r="49" spans="1:5">
      <c r="A49" s="76"/>
      <c r="B49" s="288"/>
      <c r="C49" s="280"/>
      <c r="D49" s="280"/>
      <c r="E49" s="288">
        <f t="shared" si="1"/>
        <v>0</v>
      </c>
    </row>
    <row r="50" spans="1:5">
      <c r="A50" s="77" t="s">
        <v>528</v>
      </c>
      <c r="B50" s="288">
        <f>1480038+1913</f>
        <v>1481951</v>
      </c>
      <c r="C50" s="280"/>
      <c r="D50" s="280"/>
      <c r="E50" s="288">
        <f t="shared" si="1"/>
        <v>1481951</v>
      </c>
    </row>
    <row r="51" spans="1:5">
      <c r="A51" s="78" t="s">
        <v>173</v>
      </c>
      <c r="B51" s="289">
        <f>1100567+1430</f>
        <v>1101997</v>
      </c>
      <c r="C51" s="280"/>
      <c r="D51" s="280"/>
      <c r="E51" s="289">
        <f t="shared" si="1"/>
        <v>1101997</v>
      </c>
    </row>
    <row r="52" spans="1:5">
      <c r="A52" s="292"/>
      <c r="B52" s="288"/>
      <c r="C52" s="280"/>
      <c r="D52" s="280"/>
      <c r="E52" s="288">
        <f t="shared" si="1"/>
        <v>0</v>
      </c>
    </row>
    <row r="53" spans="1:5" ht="25.5">
      <c r="A53" s="79" t="s">
        <v>529</v>
      </c>
      <c r="B53" s="288">
        <f>7929743+98230+26265-1913-957</f>
        <v>8051368</v>
      </c>
      <c r="C53" s="280">
        <v>556221</v>
      </c>
      <c r="D53" s="600">
        <v>-34282</v>
      </c>
      <c r="E53" s="288">
        <f t="shared" si="1"/>
        <v>8573307</v>
      </c>
    </row>
    <row r="54" spans="1:5">
      <c r="A54" s="78" t="s">
        <v>173</v>
      </c>
      <c r="B54" s="289">
        <f>5926564+73416+19630-1430-715</f>
        <v>6017465</v>
      </c>
      <c r="C54" s="289">
        <v>415710</v>
      </c>
      <c r="D54" s="602">
        <v>-25622</v>
      </c>
      <c r="E54" s="289">
        <f t="shared" si="1"/>
        <v>6407553</v>
      </c>
    </row>
    <row r="55" spans="1:5">
      <c r="A55" s="293"/>
      <c r="B55" s="288"/>
      <c r="C55" s="280"/>
      <c r="D55" s="600">
        <v>0</v>
      </c>
      <c r="E55" s="288">
        <f t="shared" si="1"/>
        <v>0</v>
      </c>
    </row>
    <row r="56" spans="1:5">
      <c r="A56" s="291" t="s">
        <v>576</v>
      </c>
      <c r="B56" s="288">
        <v>373041</v>
      </c>
      <c r="C56" s="280"/>
      <c r="D56" s="600">
        <v>-19121</v>
      </c>
      <c r="E56" s="288">
        <f t="shared" si="1"/>
        <v>353920</v>
      </c>
    </row>
    <row r="57" spans="1:5">
      <c r="A57" s="81"/>
      <c r="B57" s="288"/>
      <c r="C57" s="280"/>
      <c r="D57" s="280"/>
      <c r="E57" s="288">
        <f t="shared" si="1"/>
        <v>0</v>
      </c>
    </row>
    <row r="58" spans="1:5">
      <c r="A58" s="77" t="s">
        <v>40</v>
      </c>
      <c r="B58" s="288">
        <v>251000</v>
      </c>
      <c r="C58" s="280"/>
      <c r="D58" s="280"/>
      <c r="E58" s="288">
        <f t="shared" si="1"/>
        <v>251000</v>
      </c>
    </row>
    <row r="59" spans="1:5">
      <c r="A59" s="294"/>
      <c r="B59" s="288"/>
      <c r="C59" s="280"/>
      <c r="D59" s="280"/>
      <c r="E59" s="288">
        <f t="shared" si="1"/>
        <v>0</v>
      </c>
    </row>
    <row r="60" spans="1:5">
      <c r="A60" s="291" t="s">
        <v>451</v>
      </c>
      <c r="B60" s="288">
        <v>341000</v>
      </c>
      <c r="C60" s="280"/>
      <c r="D60" s="288">
        <v>-10000</v>
      </c>
      <c r="E60" s="288">
        <f t="shared" si="1"/>
        <v>331000</v>
      </c>
    </row>
    <row r="61" spans="1:5">
      <c r="A61" s="80"/>
      <c r="B61" s="288"/>
      <c r="C61" s="280"/>
      <c r="D61" s="280"/>
      <c r="E61" s="288">
        <f t="shared" si="1"/>
        <v>0</v>
      </c>
    </row>
    <row r="62" spans="1:5">
      <c r="A62" s="77" t="s">
        <v>366</v>
      </c>
      <c r="B62" s="288">
        <v>31000</v>
      </c>
      <c r="C62" s="280"/>
      <c r="D62" s="600">
        <v>-31000</v>
      </c>
      <c r="E62" s="288">
        <f t="shared" si="1"/>
        <v>0</v>
      </c>
    </row>
    <row r="63" spans="1:5">
      <c r="A63" s="78" t="s">
        <v>173</v>
      </c>
      <c r="B63" s="289">
        <v>10226</v>
      </c>
      <c r="C63" s="280"/>
      <c r="D63" s="602">
        <v>-10226</v>
      </c>
      <c r="E63" s="289">
        <f t="shared" si="1"/>
        <v>0</v>
      </c>
    </row>
    <row r="64" spans="1:5">
      <c r="A64" s="295"/>
      <c r="B64" s="289"/>
      <c r="C64" s="280"/>
      <c r="D64" s="280"/>
      <c r="E64" s="289">
        <f t="shared" si="1"/>
        <v>0</v>
      </c>
    </row>
    <row r="65" spans="1:5">
      <c r="A65" s="82" t="s">
        <v>41</v>
      </c>
      <c r="B65" s="288">
        <f>437470+5000</f>
        <v>442470</v>
      </c>
      <c r="C65" s="280"/>
      <c r="D65" s="280"/>
      <c r="E65" s="288">
        <f t="shared" si="1"/>
        <v>442470</v>
      </c>
    </row>
    <row r="66" spans="1:5">
      <c r="A66" s="78" t="s">
        <v>173</v>
      </c>
      <c r="B66" s="289">
        <v>47832</v>
      </c>
      <c r="C66" s="280"/>
      <c r="D66" s="280"/>
      <c r="E66" s="289">
        <f t="shared" si="1"/>
        <v>47832</v>
      </c>
    </row>
    <row r="67" spans="1:5" ht="36">
      <c r="A67" s="83" t="s">
        <v>18</v>
      </c>
      <c r="B67" s="289">
        <v>16000</v>
      </c>
      <c r="C67" s="280"/>
      <c r="D67" s="280"/>
      <c r="E67" s="289">
        <f t="shared" si="1"/>
        <v>16000</v>
      </c>
    </row>
    <row r="68" spans="1:5">
      <c r="A68" s="81" t="s">
        <v>173</v>
      </c>
      <c r="B68" s="289">
        <v>11958</v>
      </c>
      <c r="C68" s="280"/>
      <c r="D68" s="280"/>
      <c r="E68" s="289">
        <f t="shared" si="1"/>
        <v>11958</v>
      </c>
    </row>
    <row r="69" spans="1:5" ht="24">
      <c r="A69" s="83" t="s">
        <v>669</v>
      </c>
      <c r="B69" s="289">
        <v>5000</v>
      </c>
      <c r="C69" s="280"/>
      <c r="D69" s="280"/>
      <c r="E69" s="289">
        <f t="shared" si="1"/>
        <v>5000</v>
      </c>
    </row>
    <row r="70" spans="1:5">
      <c r="A70" s="84"/>
      <c r="B70" s="288"/>
      <c r="C70" s="280"/>
      <c r="D70" s="280"/>
      <c r="E70" s="288">
        <f t="shared" si="1"/>
        <v>0</v>
      </c>
    </row>
    <row r="71" spans="1:5">
      <c r="A71" s="82" t="s">
        <v>418</v>
      </c>
      <c r="B71" s="288">
        <v>30000</v>
      </c>
      <c r="C71" s="280">
        <v>-9524</v>
      </c>
      <c r="D71" s="280"/>
      <c r="E71" s="288">
        <f t="shared" ref="E71:E134" si="6">SUM(B71:D71)</f>
        <v>20476</v>
      </c>
    </row>
    <row r="72" spans="1:5">
      <c r="A72" s="78" t="s">
        <v>173</v>
      </c>
      <c r="B72" s="289">
        <v>4000</v>
      </c>
      <c r="C72" s="280"/>
      <c r="D72" s="280"/>
      <c r="E72" s="289">
        <f t="shared" si="6"/>
        <v>4000</v>
      </c>
    </row>
    <row r="73" spans="1:5">
      <c r="A73" s="78"/>
      <c r="B73" s="289"/>
      <c r="C73" s="280"/>
      <c r="D73" s="280"/>
      <c r="E73" s="289">
        <f t="shared" si="6"/>
        <v>0</v>
      </c>
    </row>
    <row r="74" spans="1:5">
      <c r="A74" s="82" t="s">
        <v>42</v>
      </c>
      <c r="B74" s="288">
        <v>46200</v>
      </c>
      <c r="C74" s="280"/>
      <c r="D74" s="600">
        <v>1440</v>
      </c>
      <c r="E74" s="288">
        <f t="shared" si="6"/>
        <v>47640</v>
      </c>
    </row>
    <row r="75" spans="1:5">
      <c r="A75" s="293"/>
      <c r="B75" s="288"/>
      <c r="C75" s="280"/>
      <c r="D75" s="280"/>
      <c r="E75" s="288">
        <f t="shared" si="6"/>
        <v>0</v>
      </c>
    </row>
    <row r="76" spans="1:5">
      <c r="A76" s="82" t="s">
        <v>43</v>
      </c>
      <c r="B76" s="288">
        <v>60000</v>
      </c>
      <c r="C76" s="280"/>
      <c r="D76" s="280"/>
      <c r="E76" s="288">
        <f t="shared" si="6"/>
        <v>60000</v>
      </c>
    </row>
    <row r="77" spans="1:5">
      <c r="A77" s="82"/>
      <c r="B77" s="288"/>
      <c r="C77" s="280"/>
      <c r="D77" s="280"/>
      <c r="E77" s="288">
        <f t="shared" si="6"/>
        <v>0</v>
      </c>
    </row>
    <row r="78" spans="1:5">
      <c r="A78" s="291" t="s">
        <v>625</v>
      </c>
      <c r="B78" s="288">
        <v>40785</v>
      </c>
      <c r="C78" s="280"/>
      <c r="D78" s="288">
        <v>-1440</v>
      </c>
      <c r="E78" s="288">
        <f t="shared" si="6"/>
        <v>39345</v>
      </c>
    </row>
    <row r="79" spans="1:5">
      <c r="A79" s="78" t="s">
        <v>173</v>
      </c>
      <c r="B79" s="289">
        <v>1200</v>
      </c>
      <c r="C79" s="280"/>
      <c r="D79" s="289">
        <v>0</v>
      </c>
      <c r="E79" s="289">
        <f t="shared" si="6"/>
        <v>1200</v>
      </c>
    </row>
    <row r="80" spans="1:5">
      <c r="A80" s="78"/>
      <c r="B80" s="288"/>
      <c r="C80" s="280"/>
      <c r="D80" s="288">
        <v>0</v>
      </c>
      <c r="E80" s="288">
        <f t="shared" si="6"/>
        <v>0</v>
      </c>
    </row>
    <row r="81" spans="1:5">
      <c r="A81" s="291" t="s">
        <v>44</v>
      </c>
      <c r="B81" s="288">
        <v>17556</v>
      </c>
      <c r="C81" s="280"/>
      <c r="D81" s="288">
        <v>5121</v>
      </c>
      <c r="E81" s="288">
        <f t="shared" si="6"/>
        <v>22677</v>
      </c>
    </row>
    <row r="82" spans="1:5">
      <c r="A82" s="78" t="s">
        <v>173</v>
      </c>
      <c r="B82" s="289">
        <v>13200</v>
      </c>
      <c r="C82" s="280"/>
      <c r="D82" s="289">
        <v>3850</v>
      </c>
      <c r="E82" s="289">
        <f t="shared" si="6"/>
        <v>17050</v>
      </c>
    </row>
    <row r="83" spans="1:5">
      <c r="A83" s="294"/>
      <c r="B83" s="288"/>
      <c r="C83" s="280"/>
      <c r="D83" s="280"/>
      <c r="E83" s="288">
        <f t="shared" si="6"/>
        <v>0</v>
      </c>
    </row>
    <row r="84" spans="1:5">
      <c r="A84" s="79" t="s">
        <v>497</v>
      </c>
      <c r="B84" s="288">
        <v>84170</v>
      </c>
      <c r="C84" s="280">
        <v>53209</v>
      </c>
      <c r="D84" s="280"/>
      <c r="E84" s="288">
        <f t="shared" si="6"/>
        <v>137379</v>
      </c>
    </row>
    <row r="85" spans="1:5">
      <c r="A85" s="78"/>
      <c r="B85" s="288"/>
      <c r="C85" s="280"/>
      <c r="D85" s="280"/>
      <c r="E85" s="288">
        <f t="shared" si="6"/>
        <v>0</v>
      </c>
    </row>
    <row r="86" spans="1:5">
      <c r="A86" s="82" t="s">
        <v>627</v>
      </c>
      <c r="B86" s="151">
        <f>SUM(B87:B94)</f>
        <v>48110</v>
      </c>
      <c r="C86" s="280"/>
      <c r="D86" s="280"/>
      <c r="E86" s="151">
        <f t="shared" si="6"/>
        <v>48110</v>
      </c>
    </row>
    <row r="87" spans="1:5">
      <c r="A87" s="107" t="s">
        <v>628</v>
      </c>
      <c r="B87" s="156">
        <v>12800</v>
      </c>
      <c r="C87" s="280"/>
      <c r="D87" s="280"/>
      <c r="E87" s="156">
        <f t="shared" si="6"/>
        <v>12800</v>
      </c>
    </row>
    <row r="88" spans="1:5">
      <c r="A88" s="115" t="s">
        <v>629</v>
      </c>
      <c r="B88" s="156">
        <v>10000</v>
      </c>
      <c r="C88" s="280"/>
      <c r="D88" s="280"/>
      <c r="E88" s="156">
        <f t="shared" si="6"/>
        <v>10000</v>
      </c>
    </row>
    <row r="89" spans="1:5">
      <c r="A89" s="115" t="s">
        <v>630</v>
      </c>
      <c r="B89" s="156">
        <v>5760</v>
      </c>
      <c r="C89" s="280"/>
      <c r="D89" s="280"/>
      <c r="E89" s="156">
        <f t="shared" si="6"/>
        <v>5760</v>
      </c>
    </row>
    <row r="90" spans="1:5">
      <c r="A90" s="115" t="s">
        <v>631</v>
      </c>
      <c r="B90" s="156">
        <v>6400</v>
      </c>
      <c r="C90" s="280"/>
      <c r="D90" s="280"/>
      <c r="E90" s="156">
        <f t="shared" si="6"/>
        <v>6400</v>
      </c>
    </row>
    <row r="91" spans="1:5">
      <c r="A91" s="115" t="s">
        <v>493</v>
      </c>
      <c r="B91" s="156">
        <v>5750</v>
      </c>
      <c r="C91" s="280"/>
      <c r="D91" s="280"/>
      <c r="E91" s="156">
        <f t="shared" si="6"/>
        <v>5750</v>
      </c>
    </row>
    <row r="92" spans="1:5">
      <c r="A92" s="115" t="s">
        <v>371</v>
      </c>
      <c r="B92" s="156">
        <v>3200</v>
      </c>
      <c r="C92" s="280"/>
      <c r="D92" s="280"/>
      <c r="E92" s="156">
        <f t="shared" si="6"/>
        <v>3200</v>
      </c>
    </row>
    <row r="93" spans="1:5">
      <c r="A93" s="115" t="s">
        <v>564</v>
      </c>
      <c r="B93" s="156">
        <v>3200</v>
      </c>
      <c r="C93" s="280"/>
      <c r="D93" s="280"/>
      <c r="E93" s="156">
        <f t="shared" si="6"/>
        <v>3200</v>
      </c>
    </row>
    <row r="94" spans="1:5">
      <c r="A94" s="115" t="s">
        <v>632</v>
      </c>
      <c r="B94" s="156">
        <v>1000</v>
      </c>
      <c r="C94" s="280"/>
      <c r="D94" s="280"/>
      <c r="E94" s="156">
        <f t="shared" si="6"/>
        <v>1000</v>
      </c>
    </row>
    <row r="95" spans="1:5">
      <c r="A95" s="78"/>
      <c r="B95" s="288"/>
      <c r="C95" s="280"/>
      <c r="D95" s="280"/>
      <c r="E95" s="288">
        <f t="shared" si="6"/>
        <v>0</v>
      </c>
    </row>
    <row r="96" spans="1:5">
      <c r="A96" s="82" t="s">
        <v>530</v>
      </c>
      <c r="B96" s="288">
        <v>85000</v>
      </c>
      <c r="C96" s="280"/>
      <c r="D96" s="280"/>
      <c r="E96" s="288">
        <f t="shared" si="6"/>
        <v>85000</v>
      </c>
    </row>
    <row r="97" spans="1:5">
      <c r="A97" s="78" t="s">
        <v>173</v>
      </c>
      <c r="B97" s="289">
        <v>3000</v>
      </c>
      <c r="C97" s="280"/>
      <c r="D97" s="280"/>
      <c r="E97" s="289">
        <f t="shared" si="6"/>
        <v>3000</v>
      </c>
    </row>
    <row r="98" spans="1:5">
      <c r="A98" s="86"/>
      <c r="B98" s="289"/>
      <c r="C98" s="280"/>
      <c r="D98" s="280"/>
      <c r="E98" s="289">
        <f t="shared" si="6"/>
        <v>0</v>
      </c>
    </row>
    <row r="99" spans="1:5" ht="25.5">
      <c r="A99" s="86" t="s">
        <v>588</v>
      </c>
      <c r="B99" s="288">
        <f>B102</f>
        <v>248</v>
      </c>
      <c r="C99" s="280"/>
      <c r="D99" s="280"/>
      <c r="E99" s="288">
        <f t="shared" si="6"/>
        <v>248</v>
      </c>
    </row>
    <row r="100" spans="1:5">
      <c r="A100" s="78" t="s">
        <v>173</v>
      </c>
      <c r="B100" s="296">
        <v>163</v>
      </c>
      <c r="C100" s="280"/>
      <c r="D100" s="280"/>
      <c r="E100" s="296">
        <f t="shared" si="6"/>
        <v>163</v>
      </c>
    </row>
    <row r="101" spans="1:5">
      <c r="A101" s="297"/>
      <c r="B101" s="296"/>
      <c r="C101" s="280"/>
      <c r="D101" s="280"/>
      <c r="E101" s="296">
        <f t="shared" si="6"/>
        <v>0</v>
      </c>
    </row>
    <row r="102" spans="1:5">
      <c r="A102" s="78" t="s">
        <v>516</v>
      </c>
      <c r="B102" s="296">
        <v>248</v>
      </c>
      <c r="C102" s="280"/>
      <c r="D102" s="280"/>
      <c r="E102" s="296">
        <f t="shared" si="6"/>
        <v>248</v>
      </c>
    </row>
    <row r="103" spans="1:5">
      <c r="A103" s="78"/>
      <c r="B103" s="296"/>
      <c r="C103" s="280"/>
      <c r="D103" s="280"/>
      <c r="E103" s="296">
        <f t="shared" si="6"/>
        <v>0</v>
      </c>
    </row>
    <row r="104" spans="1:5" ht="25.5">
      <c r="A104" s="86" t="s">
        <v>658</v>
      </c>
      <c r="B104" s="288">
        <v>23318</v>
      </c>
      <c r="C104" s="288">
        <v>4114</v>
      </c>
      <c r="D104" s="288"/>
      <c r="E104" s="288">
        <f t="shared" si="6"/>
        <v>27432</v>
      </c>
    </row>
    <row r="105" spans="1:5">
      <c r="A105" s="297"/>
      <c r="B105" s="296"/>
      <c r="C105" s="280"/>
      <c r="D105" s="280"/>
      <c r="E105" s="296">
        <f t="shared" si="6"/>
        <v>0</v>
      </c>
    </row>
    <row r="106" spans="1:5">
      <c r="A106" s="78" t="s">
        <v>516</v>
      </c>
      <c r="B106" s="87">
        <v>19203</v>
      </c>
      <c r="C106" s="280"/>
      <c r="D106" s="280"/>
      <c r="E106" s="87">
        <f t="shared" si="6"/>
        <v>19203</v>
      </c>
    </row>
    <row r="107" spans="1:5">
      <c r="A107" s="78"/>
      <c r="B107" s="87"/>
      <c r="C107" s="280"/>
      <c r="D107" s="280"/>
      <c r="E107" s="87">
        <f t="shared" si="6"/>
        <v>0</v>
      </c>
    </row>
    <row r="108" spans="1:5" ht="25.5">
      <c r="A108" s="86" t="s">
        <v>746</v>
      </c>
      <c r="B108" s="87"/>
      <c r="C108" s="280">
        <v>40800</v>
      </c>
      <c r="D108" s="280"/>
      <c r="E108" s="87">
        <f t="shared" si="6"/>
        <v>40800</v>
      </c>
    </row>
    <row r="109" spans="1:5">
      <c r="A109" s="297"/>
      <c r="B109" s="87"/>
      <c r="C109" s="280"/>
      <c r="D109" s="280"/>
      <c r="E109" s="87">
        <f t="shared" si="6"/>
        <v>0</v>
      </c>
    </row>
    <row r="110" spans="1:5">
      <c r="A110" s="88" t="s">
        <v>184</v>
      </c>
      <c r="B110" s="87"/>
      <c r="C110" s="280">
        <v>34680</v>
      </c>
      <c r="D110" s="280"/>
      <c r="E110" s="87">
        <f t="shared" si="6"/>
        <v>34680</v>
      </c>
    </row>
    <row r="111" spans="1:5">
      <c r="A111" s="78"/>
      <c r="B111" s="87"/>
      <c r="E111" s="87">
        <f t="shared" si="6"/>
        <v>0</v>
      </c>
    </row>
    <row r="112" spans="1:5">
      <c r="A112" s="78"/>
      <c r="B112" s="87"/>
      <c r="E112" s="87">
        <f t="shared" si="6"/>
        <v>0</v>
      </c>
    </row>
    <row r="113" spans="1:6" ht="15.75">
      <c r="A113" s="89" t="s">
        <v>156</v>
      </c>
      <c r="B113" s="288"/>
      <c r="E113" s="288">
        <f t="shared" si="6"/>
        <v>0</v>
      </c>
    </row>
    <row r="114" spans="1:6">
      <c r="A114" s="293"/>
      <c r="B114" s="288"/>
      <c r="E114" s="288">
        <f t="shared" si="6"/>
        <v>0</v>
      </c>
    </row>
    <row r="115" spans="1:6">
      <c r="A115" s="90" t="s">
        <v>168</v>
      </c>
      <c r="B115" s="284">
        <f>B121</f>
        <v>826765</v>
      </c>
      <c r="D115" s="284">
        <f>D121</f>
        <v>153</v>
      </c>
      <c r="E115" s="284">
        <f t="shared" si="6"/>
        <v>826918</v>
      </c>
    </row>
    <row r="116" spans="1:6">
      <c r="A116" s="67" t="s">
        <v>185</v>
      </c>
      <c r="B116" s="285">
        <v>75000</v>
      </c>
      <c r="D116" s="285"/>
      <c r="E116" s="285">
        <f t="shared" si="6"/>
        <v>75000</v>
      </c>
    </row>
    <row r="117" spans="1:6">
      <c r="A117" s="91" t="s">
        <v>169</v>
      </c>
      <c r="B117" s="284">
        <f>B118+B119</f>
        <v>826765</v>
      </c>
      <c r="D117" s="284">
        <f>D118+D119</f>
        <v>153</v>
      </c>
      <c r="E117" s="284">
        <f t="shared" si="6"/>
        <v>826918</v>
      </c>
    </row>
    <row r="118" spans="1:6">
      <c r="A118" s="92" t="s">
        <v>170</v>
      </c>
      <c r="B118" s="285">
        <v>34893</v>
      </c>
      <c r="D118" s="285"/>
      <c r="E118" s="285">
        <f t="shared" si="6"/>
        <v>34893</v>
      </c>
    </row>
    <row r="119" spans="1:6" s="286" customFormat="1">
      <c r="A119" s="93" t="s">
        <v>171</v>
      </c>
      <c r="B119" s="285">
        <f>B115-B118</f>
        <v>791872</v>
      </c>
      <c r="C119" s="278"/>
      <c r="D119" s="285">
        <f>D115-D118</f>
        <v>153</v>
      </c>
      <c r="E119" s="285">
        <f t="shared" si="6"/>
        <v>792025</v>
      </c>
      <c r="F119" s="250"/>
    </row>
    <row r="120" spans="1:6">
      <c r="A120" s="293"/>
      <c r="B120" s="288"/>
      <c r="D120" s="603"/>
      <c r="E120" s="288">
        <f t="shared" si="6"/>
        <v>0</v>
      </c>
    </row>
    <row r="121" spans="1:6">
      <c r="A121" s="298" t="s">
        <v>174</v>
      </c>
      <c r="B121" s="284">
        <f>814378+10212+1218+957</f>
        <v>826765</v>
      </c>
      <c r="D121" s="603">
        <v>153</v>
      </c>
      <c r="E121" s="284">
        <f t="shared" si="6"/>
        <v>826918</v>
      </c>
    </row>
    <row r="122" spans="1:6">
      <c r="A122" s="81" t="s">
        <v>173</v>
      </c>
      <c r="B122" s="289">
        <f>430235+7632+910+715+33252</f>
        <v>472744</v>
      </c>
      <c r="D122" s="289">
        <v>115</v>
      </c>
      <c r="E122" s="289">
        <f t="shared" si="6"/>
        <v>472859</v>
      </c>
    </row>
    <row r="123" spans="1:6">
      <c r="A123" s="81"/>
      <c r="B123" s="289"/>
      <c r="E123" s="289">
        <f t="shared" si="6"/>
        <v>0</v>
      </c>
    </row>
    <row r="124" spans="1:6">
      <c r="A124" s="81" t="s">
        <v>633</v>
      </c>
      <c r="B124" s="289">
        <v>45982</v>
      </c>
      <c r="E124" s="289">
        <f t="shared" si="6"/>
        <v>45982</v>
      </c>
    </row>
    <row r="125" spans="1:6">
      <c r="A125" s="84" t="s">
        <v>173</v>
      </c>
      <c r="B125" s="289">
        <v>33252</v>
      </c>
      <c r="E125" s="289">
        <f t="shared" si="6"/>
        <v>33252</v>
      </c>
    </row>
    <row r="126" spans="1:6">
      <c r="A126" s="293"/>
      <c r="B126" s="288"/>
      <c r="E126" s="288">
        <f t="shared" si="6"/>
        <v>0</v>
      </c>
    </row>
    <row r="127" spans="1:6">
      <c r="A127" s="293"/>
      <c r="B127" s="288"/>
      <c r="E127" s="288">
        <f t="shared" si="6"/>
        <v>0</v>
      </c>
    </row>
    <row r="128" spans="1:6" ht="15.75">
      <c r="A128" s="89" t="s">
        <v>175</v>
      </c>
      <c r="B128" s="288"/>
      <c r="E128" s="288">
        <f t="shared" si="6"/>
        <v>0</v>
      </c>
    </row>
    <row r="129" spans="1:6">
      <c r="A129" s="293"/>
      <c r="B129" s="288"/>
      <c r="E129" s="288">
        <f t="shared" si="6"/>
        <v>0</v>
      </c>
    </row>
    <row r="130" spans="1:6">
      <c r="A130" s="90" t="s">
        <v>168</v>
      </c>
      <c r="B130" s="284">
        <f>B136</f>
        <v>498689</v>
      </c>
      <c r="C130" s="284">
        <f t="shared" ref="C130:D130" si="7">C136</f>
        <v>2300</v>
      </c>
      <c r="D130" s="284">
        <f t="shared" si="7"/>
        <v>-1201</v>
      </c>
      <c r="E130" s="284">
        <f t="shared" si="6"/>
        <v>499788</v>
      </c>
    </row>
    <row r="131" spans="1:6">
      <c r="A131" s="67" t="s">
        <v>185</v>
      </c>
      <c r="B131" s="285">
        <v>60500</v>
      </c>
      <c r="C131" s="280"/>
      <c r="D131" s="280"/>
      <c r="E131" s="285">
        <f t="shared" si="6"/>
        <v>60500</v>
      </c>
    </row>
    <row r="132" spans="1:6">
      <c r="A132" s="91" t="s">
        <v>169</v>
      </c>
      <c r="B132" s="284">
        <f>B133+B134</f>
        <v>498689</v>
      </c>
      <c r="C132" s="284">
        <f t="shared" ref="C132:D132" si="8">C133+C134</f>
        <v>2300</v>
      </c>
      <c r="D132" s="284">
        <f t="shared" si="8"/>
        <v>-1201</v>
      </c>
      <c r="E132" s="284">
        <f t="shared" si="6"/>
        <v>499788</v>
      </c>
    </row>
    <row r="133" spans="1:6">
      <c r="A133" s="92" t="s">
        <v>170</v>
      </c>
      <c r="B133" s="285">
        <v>221343</v>
      </c>
      <c r="C133" s="285">
        <v>0</v>
      </c>
      <c r="D133" s="285"/>
      <c r="E133" s="285">
        <f t="shared" si="6"/>
        <v>221343</v>
      </c>
    </row>
    <row r="134" spans="1:6" s="286" customFormat="1">
      <c r="A134" s="93" t="s">
        <v>171</v>
      </c>
      <c r="B134" s="285">
        <f>B130-B133</f>
        <v>277346</v>
      </c>
      <c r="C134" s="285">
        <f t="shared" ref="C134:D134" si="9">C130-C133</f>
        <v>2300</v>
      </c>
      <c r="D134" s="285">
        <f t="shared" si="9"/>
        <v>-1201</v>
      </c>
      <c r="E134" s="285">
        <f t="shared" si="6"/>
        <v>278445</v>
      </c>
      <c r="F134" s="250"/>
    </row>
    <row r="135" spans="1:6">
      <c r="A135" s="293"/>
      <c r="B135" s="288"/>
      <c r="C135" s="280"/>
      <c r="D135" s="280"/>
      <c r="E135" s="288">
        <f t="shared" ref="E135:E198" si="10">SUM(B135:D135)</f>
        <v>0</v>
      </c>
    </row>
    <row r="136" spans="1:6">
      <c r="A136" s="298" t="s">
        <v>176</v>
      </c>
      <c r="B136" s="284">
        <f>486477+10212+2000</f>
        <v>498689</v>
      </c>
      <c r="C136" s="280">
        <v>2300</v>
      </c>
      <c r="D136" s="280">
        <v>-1201</v>
      </c>
      <c r="E136" s="284">
        <f t="shared" si="10"/>
        <v>499788</v>
      </c>
    </row>
    <row r="137" spans="1:6">
      <c r="A137" s="81" t="s">
        <v>173</v>
      </c>
      <c r="B137" s="289">
        <f>275210+7632+1495</f>
        <v>284337</v>
      </c>
      <c r="D137" s="278">
        <v>-898</v>
      </c>
      <c r="E137" s="289">
        <f t="shared" si="10"/>
        <v>283439</v>
      </c>
    </row>
    <row r="138" spans="1:6">
      <c r="A138" s="299"/>
      <c r="B138" s="288"/>
      <c r="E138" s="288">
        <f t="shared" si="10"/>
        <v>0</v>
      </c>
    </row>
    <row r="139" spans="1:6" ht="15.75">
      <c r="A139" s="95" t="s">
        <v>177</v>
      </c>
      <c r="B139" s="288"/>
      <c r="E139" s="288">
        <f t="shared" si="10"/>
        <v>0</v>
      </c>
    </row>
    <row r="140" spans="1:6">
      <c r="A140" s="90"/>
      <c r="B140" s="288"/>
      <c r="E140" s="288">
        <f t="shared" si="10"/>
        <v>0</v>
      </c>
    </row>
    <row r="141" spans="1:6">
      <c r="A141" s="90" t="s">
        <v>168</v>
      </c>
      <c r="B141" s="147">
        <f>B148+B174</f>
        <v>124740736</v>
      </c>
      <c r="C141" s="147">
        <f>C148+C174</f>
        <v>266097</v>
      </c>
      <c r="D141" s="147">
        <f>D148+D174</f>
        <v>793569</v>
      </c>
      <c r="E141" s="147">
        <f t="shared" si="10"/>
        <v>125800402</v>
      </c>
    </row>
    <row r="142" spans="1:6">
      <c r="A142" s="67" t="s">
        <v>185</v>
      </c>
      <c r="B142" s="285">
        <v>9373820</v>
      </c>
      <c r="C142" s="285"/>
      <c r="D142" s="285">
        <v>265750</v>
      </c>
      <c r="E142" s="285">
        <f t="shared" si="10"/>
        <v>9639570</v>
      </c>
    </row>
    <row r="143" spans="1:6">
      <c r="A143" s="68" t="s">
        <v>169</v>
      </c>
      <c r="B143" s="147">
        <f>SUM(B144:B146)</f>
        <v>124740736</v>
      </c>
      <c r="C143" s="147">
        <f>SUM(C144:C146)</f>
        <v>266097</v>
      </c>
      <c r="D143" s="147">
        <f>SUM(D144:D146)</f>
        <v>793569</v>
      </c>
      <c r="E143" s="147">
        <f t="shared" si="10"/>
        <v>125800402</v>
      </c>
    </row>
    <row r="144" spans="1:6">
      <c r="A144" s="92" t="s">
        <v>170</v>
      </c>
      <c r="B144" s="285">
        <v>29027000</v>
      </c>
      <c r="C144" s="285">
        <v>307718</v>
      </c>
      <c r="D144" s="285">
        <v>726135</v>
      </c>
      <c r="E144" s="285">
        <f t="shared" si="10"/>
        <v>30060853</v>
      </c>
    </row>
    <row r="145" spans="1:6">
      <c r="A145" s="93" t="s">
        <v>152</v>
      </c>
      <c r="B145" s="285"/>
      <c r="C145" s="285">
        <f>C194</f>
        <v>186245</v>
      </c>
      <c r="D145" s="285">
        <v>60836</v>
      </c>
      <c r="E145" s="285">
        <f t="shared" si="10"/>
        <v>247081</v>
      </c>
    </row>
    <row r="146" spans="1:6" s="286" customFormat="1">
      <c r="A146" s="93" t="s">
        <v>171</v>
      </c>
      <c r="B146" s="285">
        <f>B141-B144</f>
        <v>95713736</v>
      </c>
      <c r="C146" s="285">
        <f>C141-C144-C145</f>
        <v>-227866</v>
      </c>
      <c r="D146" s="285">
        <f>D141-D144-D145</f>
        <v>6598</v>
      </c>
      <c r="E146" s="285">
        <f t="shared" si="10"/>
        <v>95492468</v>
      </c>
      <c r="F146" s="250"/>
    </row>
    <row r="147" spans="1:6">
      <c r="A147" s="178"/>
      <c r="B147" s="288"/>
      <c r="C147" s="280"/>
      <c r="D147" s="280"/>
      <c r="E147" s="288">
        <f t="shared" si="10"/>
        <v>0</v>
      </c>
    </row>
    <row r="148" spans="1:6" ht="15">
      <c r="A148" s="300" t="s">
        <v>178</v>
      </c>
      <c r="B148" s="154">
        <f t="shared" ref="B148:D149" si="11">B151+B154+B157+B160+B163</f>
        <v>119967658</v>
      </c>
      <c r="C148" s="154">
        <f t="shared" si="11"/>
        <v>1413552</v>
      </c>
      <c r="D148" s="154">
        <f t="shared" si="11"/>
        <v>733659</v>
      </c>
      <c r="E148" s="154">
        <f t="shared" si="10"/>
        <v>122114869</v>
      </c>
    </row>
    <row r="149" spans="1:6">
      <c r="A149" s="81" t="s">
        <v>173</v>
      </c>
      <c r="B149" s="303">
        <f t="shared" si="11"/>
        <v>53103864</v>
      </c>
      <c r="C149" s="301">
        <f t="shared" si="11"/>
        <v>930249</v>
      </c>
      <c r="D149" s="301">
        <f t="shared" si="11"/>
        <v>178947</v>
      </c>
      <c r="E149" s="303">
        <f t="shared" si="10"/>
        <v>54213060</v>
      </c>
    </row>
    <row r="150" spans="1:6" ht="15">
      <c r="A150" s="300"/>
      <c r="B150" s="154"/>
      <c r="C150" s="280"/>
      <c r="D150" s="154"/>
      <c r="E150" s="154">
        <f t="shared" si="10"/>
        <v>0</v>
      </c>
    </row>
    <row r="151" spans="1:6">
      <c r="A151" s="298" t="s">
        <v>438</v>
      </c>
      <c r="B151" s="605">
        <v>71632600</v>
      </c>
      <c r="C151" s="302">
        <v>1041565</v>
      </c>
      <c r="D151" s="605">
        <f>163000-47929+1200+300+1100+90+67000+100000</f>
        <v>284761</v>
      </c>
      <c r="E151" s="605">
        <f t="shared" si="10"/>
        <v>72958926</v>
      </c>
    </row>
    <row r="152" spans="1:6">
      <c r="A152" s="81" t="s">
        <v>173</v>
      </c>
      <c r="B152" s="303">
        <v>38788020</v>
      </c>
      <c r="C152" s="301">
        <v>834132</v>
      </c>
      <c r="D152" s="303">
        <v>4736</v>
      </c>
      <c r="E152" s="303">
        <f t="shared" si="10"/>
        <v>39626888</v>
      </c>
    </row>
    <row r="153" spans="1:6">
      <c r="A153" s="255"/>
      <c r="B153" s="155"/>
      <c r="D153" s="606"/>
      <c r="E153" s="340">
        <f t="shared" si="10"/>
        <v>0</v>
      </c>
    </row>
    <row r="154" spans="1:6">
      <c r="A154" s="298" t="s">
        <v>439</v>
      </c>
      <c r="B154" s="605">
        <v>40398534</v>
      </c>
      <c r="C154" s="605">
        <v>314186</v>
      </c>
      <c r="D154" s="605">
        <v>318922</v>
      </c>
      <c r="E154" s="605">
        <f t="shared" si="10"/>
        <v>41031642</v>
      </c>
    </row>
    <row r="155" spans="1:6">
      <c r="A155" s="81" t="s">
        <v>173</v>
      </c>
      <c r="B155" s="303">
        <v>9562113</v>
      </c>
      <c r="C155" s="303">
        <v>121967</v>
      </c>
      <c r="D155" s="303">
        <v>185534</v>
      </c>
      <c r="E155" s="303">
        <f t="shared" si="10"/>
        <v>9869614</v>
      </c>
    </row>
    <row r="156" spans="1:6">
      <c r="A156" s="255"/>
      <c r="B156" s="155"/>
      <c r="D156" s="607"/>
      <c r="E156" s="340">
        <f t="shared" si="10"/>
        <v>0</v>
      </c>
    </row>
    <row r="157" spans="1:6">
      <c r="A157" s="298" t="s">
        <v>440</v>
      </c>
      <c r="B157" s="605">
        <v>434140</v>
      </c>
      <c r="C157" s="302">
        <v>1308</v>
      </c>
      <c r="D157" s="302">
        <v>72660</v>
      </c>
      <c r="E157" s="605">
        <f t="shared" si="10"/>
        <v>508108</v>
      </c>
    </row>
    <row r="158" spans="1:6">
      <c r="A158" s="81" t="s">
        <v>173</v>
      </c>
      <c r="B158" s="303">
        <v>149242</v>
      </c>
      <c r="C158" s="301">
        <v>978</v>
      </c>
      <c r="D158" s="301">
        <v>-7000</v>
      </c>
      <c r="E158" s="303">
        <f t="shared" si="10"/>
        <v>143220</v>
      </c>
    </row>
    <row r="159" spans="1:6">
      <c r="A159" s="255"/>
      <c r="B159" s="155"/>
      <c r="D159" s="155"/>
      <c r="E159" s="340">
        <f t="shared" si="10"/>
        <v>0</v>
      </c>
    </row>
    <row r="160" spans="1:6">
      <c r="A160" s="298" t="s">
        <v>441</v>
      </c>
      <c r="B160" s="605">
        <v>6998781</v>
      </c>
      <c r="C160" s="302">
        <v>217955</v>
      </c>
      <c r="D160" s="302">
        <f>55816+1500</f>
        <v>57316</v>
      </c>
      <c r="E160" s="605">
        <f t="shared" si="10"/>
        <v>7274052</v>
      </c>
    </row>
    <row r="161" spans="1:5">
      <c r="A161" s="81" t="s">
        <v>173</v>
      </c>
      <c r="B161" s="303">
        <v>4364526</v>
      </c>
      <c r="C161" s="301">
        <v>74974</v>
      </c>
      <c r="D161" s="301">
        <v>-4323</v>
      </c>
      <c r="E161" s="303">
        <f t="shared" si="10"/>
        <v>4435177</v>
      </c>
    </row>
    <row r="162" spans="1:5">
      <c r="A162" s="255"/>
      <c r="B162" s="155"/>
      <c r="D162" s="608"/>
      <c r="E162" s="340">
        <f t="shared" si="10"/>
        <v>0</v>
      </c>
    </row>
    <row r="163" spans="1:5">
      <c r="A163" s="298" t="s">
        <v>180</v>
      </c>
      <c r="B163" s="147">
        <v>503603</v>
      </c>
      <c r="C163" s="147">
        <v>-161462</v>
      </c>
      <c r="D163" s="604"/>
      <c r="E163" s="147">
        <f t="shared" si="10"/>
        <v>342141</v>
      </c>
    </row>
    <row r="164" spans="1:5">
      <c r="A164" s="81" t="s">
        <v>173</v>
      </c>
      <c r="B164" s="289">
        <v>239963</v>
      </c>
      <c r="C164" s="289">
        <v>-101802</v>
      </c>
      <c r="D164" s="609"/>
      <c r="E164" s="289">
        <f t="shared" si="10"/>
        <v>138161</v>
      </c>
    </row>
    <row r="165" spans="1:5">
      <c r="A165" s="81"/>
      <c r="B165" s="289"/>
      <c r="D165" s="607"/>
      <c r="E165" s="340">
        <f t="shared" si="10"/>
        <v>0</v>
      </c>
    </row>
    <row r="166" spans="1:5">
      <c r="A166" s="305" t="s">
        <v>179</v>
      </c>
      <c r="B166" s="288"/>
      <c r="D166" s="608"/>
      <c r="E166" s="340">
        <f t="shared" si="10"/>
        <v>0</v>
      </c>
    </row>
    <row r="167" spans="1:5">
      <c r="A167" s="94" t="s">
        <v>181</v>
      </c>
      <c r="B167" s="306">
        <v>174865</v>
      </c>
      <c r="C167" s="306">
        <v>-162394</v>
      </c>
      <c r="D167" s="604"/>
      <c r="E167" s="306">
        <f t="shared" si="10"/>
        <v>12471</v>
      </c>
    </row>
    <row r="168" spans="1:5">
      <c r="A168" s="84" t="s">
        <v>173</v>
      </c>
      <c r="B168" s="303">
        <v>115589</v>
      </c>
      <c r="C168" s="303">
        <v>-106983</v>
      </c>
      <c r="D168" s="609"/>
      <c r="E168" s="303">
        <f t="shared" si="10"/>
        <v>8606</v>
      </c>
    </row>
    <row r="169" spans="1:5">
      <c r="A169" s="123"/>
      <c r="B169" s="289"/>
      <c r="D169" s="607"/>
      <c r="E169" s="340">
        <f t="shared" si="10"/>
        <v>0</v>
      </c>
    </row>
    <row r="170" spans="1:5">
      <c r="A170" s="305" t="s">
        <v>179</v>
      </c>
      <c r="B170" s="288"/>
      <c r="D170" s="610"/>
      <c r="E170" s="340">
        <f t="shared" si="10"/>
        <v>0</v>
      </c>
    </row>
    <row r="171" spans="1:5">
      <c r="A171" s="94" t="s">
        <v>51</v>
      </c>
      <c r="B171" s="306">
        <v>328738</v>
      </c>
      <c r="C171" s="306">
        <v>932</v>
      </c>
      <c r="D171" s="611"/>
      <c r="E171" s="306">
        <f t="shared" si="10"/>
        <v>329670</v>
      </c>
    </row>
    <row r="172" spans="1:5">
      <c r="A172" s="84" t="s">
        <v>173</v>
      </c>
      <c r="B172" s="303">
        <v>124374</v>
      </c>
      <c r="C172" s="303">
        <v>5181</v>
      </c>
      <c r="D172" s="612"/>
      <c r="E172" s="303">
        <f t="shared" si="10"/>
        <v>129555</v>
      </c>
    </row>
    <row r="173" spans="1:5">
      <c r="A173" s="228"/>
      <c r="B173" s="304"/>
      <c r="E173" s="304">
        <f t="shared" si="10"/>
        <v>0</v>
      </c>
    </row>
    <row r="174" spans="1:5">
      <c r="A174" s="90" t="s">
        <v>172</v>
      </c>
      <c r="B174" s="147">
        <f>B176+B179+B183+B185+B187+B191</f>
        <v>4773078</v>
      </c>
      <c r="C174" s="147">
        <f>C176+C179+C183+C185+C187+C191</f>
        <v>-1147455</v>
      </c>
      <c r="D174" s="147">
        <f>D176+D179+D183+D185+D187+D191+D197+D202+D189</f>
        <v>59910</v>
      </c>
      <c r="E174" s="147">
        <f t="shared" si="10"/>
        <v>3685533</v>
      </c>
    </row>
    <row r="175" spans="1:5">
      <c r="A175" s="90"/>
      <c r="B175" s="149"/>
      <c r="E175" s="149">
        <f t="shared" si="10"/>
        <v>0</v>
      </c>
    </row>
    <row r="176" spans="1:5">
      <c r="A176" s="77" t="s">
        <v>707</v>
      </c>
      <c r="B176" s="288">
        <f>3053456+12138+15394</f>
        <v>3080988</v>
      </c>
      <c r="C176" s="288">
        <f>-559433+1807+12000</f>
        <v>-545626</v>
      </c>
      <c r="D176" s="288">
        <v>-2926</v>
      </c>
      <c r="E176" s="288">
        <f t="shared" si="10"/>
        <v>2532436</v>
      </c>
    </row>
    <row r="177" spans="1:5">
      <c r="A177" s="78" t="s">
        <v>173</v>
      </c>
      <c r="B177" s="289">
        <f>1907843+9072+11505</f>
        <v>1928420</v>
      </c>
      <c r="C177" s="289">
        <f>-413884+1350</f>
        <v>-412534</v>
      </c>
      <c r="D177" s="289">
        <v>-2187</v>
      </c>
      <c r="E177" s="289">
        <f t="shared" si="10"/>
        <v>1513699</v>
      </c>
    </row>
    <row r="178" spans="1:5">
      <c r="A178" s="229"/>
      <c r="B178" s="288"/>
      <c r="E178" s="288">
        <f t="shared" si="10"/>
        <v>0</v>
      </c>
    </row>
    <row r="179" spans="1:5">
      <c r="A179" s="77" t="s">
        <v>182</v>
      </c>
      <c r="B179" s="288">
        <v>188500</v>
      </c>
      <c r="C179" s="288">
        <v>8000</v>
      </c>
      <c r="D179" s="288"/>
      <c r="E179" s="288">
        <f t="shared" si="10"/>
        <v>196500</v>
      </c>
    </row>
    <row r="180" spans="1:5">
      <c r="A180" s="78" t="s">
        <v>173</v>
      </c>
      <c r="B180" s="289">
        <v>10810</v>
      </c>
      <c r="E180" s="289">
        <f t="shared" si="10"/>
        <v>10810</v>
      </c>
    </row>
    <row r="181" spans="1:5">
      <c r="A181" s="81" t="s">
        <v>547</v>
      </c>
      <c r="B181" s="289">
        <v>14000</v>
      </c>
      <c r="E181" s="289">
        <f t="shared" si="10"/>
        <v>14000</v>
      </c>
    </row>
    <row r="182" spans="1:5">
      <c r="A182" s="84"/>
      <c r="B182" s="289"/>
      <c r="E182" s="289">
        <f t="shared" si="10"/>
        <v>0</v>
      </c>
    </row>
    <row r="183" spans="1:5">
      <c r="A183" s="77" t="s">
        <v>183</v>
      </c>
      <c r="B183" s="288">
        <f>875590+550000</f>
        <v>1425590</v>
      </c>
      <c r="C183" s="288">
        <v>-796074</v>
      </c>
      <c r="D183" s="288"/>
      <c r="E183" s="288">
        <f t="shared" si="10"/>
        <v>629516</v>
      </c>
    </row>
    <row r="184" spans="1:5">
      <c r="A184" s="84"/>
      <c r="B184" s="289"/>
      <c r="E184" s="289">
        <f t="shared" si="10"/>
        <v>0</v>
      </c>
    </row>
    <row r="185" spans="1:5">
      <c r="A185" s="82" t="s">
        <v>412</v>
      </c>
      <c r="B185" s="288">
        <v>18000</v>
      </c>
      <c r="E185" s="288">
        <f t="shared" si="10"/>
        <v>18000</v>
      </c>
    </row>
    <row r="186" spans="1:5">
      <c r="A186" s="82"/>
      <c r="B186" s="288"/>
      <c r="E186" s="288">
        <f t="shared" si="10"/>
        <v>0</v>
      </c>
    </row>
    <row r="187" spans="1:5">
      <c r="A187" s="82" t="s">
        <v>543</v>
      </c>
      <c r="B187" s="288">
        <v>60000</v>
      </c>
      <c r="E187" s="288">
        <f t="shared" si="10"/>
        <v>60000</v>
      </c>
    </row>
    <row r="188" spans="1:5">
      <c r="A188" s="82"/>
      <c r="B188" s="288"/>
      <c r="E188" s="288">
        <f t="shared" si="10"/>
        <v>0</v>
      </c>
    </row>
    <row r="189" spans="1:5">
      <c r="A189" s="82" t="s">
        <v>1077</v>
      </c>
      <c r="B189" s="288"/>
      <c r="D189" s="600">
        <v>2000</v>
      </c>
      <c r="E189" s="340">
        <f t="shared" si="10"/>
        <v>2000</v>
      </c>
    </row>
    <row r="190" spans="1:5">
      <c r="A190" s="82"/>
      <c r="B190" s="288"/>
      <c r="E190" s="288">
        <f t="shared" si="10"/>
        <v>0</v>
      </c>
    </row>
    <row r="191" spans="1:5" ht="25.5">
      <c r="A191" s="277" t="s">
        <v>749</v>
      </c>
      <c r="B191" s="288"/>
      <c r="C191" s="148">
        <v>186245</v>
      </c>
      <c r="D191" s="148"/>
      <c r="E191" s="288">
        <f t="shared" si="10"/>
        <v>186245</v>
      </c>
    </row>
    <row r="192" spans="1:5">
      <c r="A192" s="78" t="s">
        <v>173</v>
      </c>
      <c r="B192" s="288"/>
      <c r="C192" s="100">
        <v>134201</v>
      </c>
      <c r="D192" s="100"/>
      <c r="E192" s="288">
        <f t="shared" si="10"/>
        <v>134201</v>
      </c>
    </row>
    <row r="193" spans="1:5">
      <c r="A193" s="237"/>
      <c r="B193" s="288"/>
      <c r="C193" s="307"/>
      <c r="D193" s="307"/>
      <c r="E193" s="288">
        <f t="shared" si="10"/>
        <v>0</v>
      </c>
    </row>
    <row r="194" spans="1:5">
      <c r="A194" s="88" t="s">
        <v>184</v>
      </c>
      <c r="B194" s="288"/>
      <c r="C194" s="303">
        <v>186245</v>
      </c>
      <c r="D194" s="303"/>
      <c r="E194" s="288">
        <f t="shared" si="10"/>
        <v>186245</v>
      </c>
    </row>
    <row r="195" spans="1:5">
      <c r="A195" s="256"/>
      <c r="B195" s="230"/>
      <c r="E195" s="230">
        <f t="shared" si="10"/>
        <v>0</v>
      </c>
    </row>
    <row r="196" spans="1:5">
      <c r="A196" s="256"/>
      <c r="B196" s="230"/>
      <c r="E196" s="230">
        <f t="shared" si="10"/>
        <v>0</v>
      </c>
    </row>
    <row r="197" spans="1:5" ht="25.5">
      <c r="A197" s="277" t="s">
        <v>1086</v>
      </c>
      <c r="B197" s="288"/>
      <c r="C197" s="303"/>
      <c r="D197" s="588">
        <v>45692</v>
      </c>
      <c r="E197" s="588">
        <f t="shared" si="10"/>
        <v>45692</v>
      </c>
    </row>
    <row r="198" spans="1:5">
      <c r="A198" s="78" t="s">
        <v>173</v>
      </c>
      <c r="B198" s="288"/>
      <c r="C198" s="303"/>
      <c r="D198" s="87">
        <v>29825</v>
      </c>
      <c r="E198" s="87">
        <f t="shared" si="10"/>
        <v>29825</v>
      </c>
    </row>
    <row r="199" spans="1:5">
      <c r="A199" s="237"/>
      <c r="B199" s="288"/>
      <c r="C199" s="303"/>
      <c r="D199" s="589"/>
      <c r="E199" s="591">
        <f t="shared" ref="E199:E262" si="12">SUM(B199:D199)</f>
        <v>0</v>
      </c>
    </row>
    <row r="200" spans="1:5">
      <c r="A200" s="88" t="s">
        <v>184</v>
      </c>
      <c r="B200" s="288"/>
      <c r="C200" s="303"/>
      <c r="D200" s="587">
        <v>45692</v>
      </c>
      <c r="E200" s="587">
        <f t="shared" si="12"/>
        <v>45692</v>
      </c>
    </row>
    <row r="201" spans="1:5">
      <c r="A201" s="88"/>
      <c r="B201" s="288"/>
      <c r="C201" s="303"/>
      <c r="D201" s="587"/>
      <c r="E201" s="587">
        <f t="shared" si="12"/>
        <v>0</v>
      </c>
    </row>
    <row r="202" spans="1:5" ht="25.5">
      <c r="A202" s="277" t="s">
        <v>1087</v>
      </c>
      <c r="B202" s="288"/>
      <c r="C202" s="303"/>
      <c r="D202" s="588">
        <v>15144</v>
      </c>
      <c r="E202" s="588">
        <f t="shared" si="12"/>
        <v>15144</v>
      </c>
    </row>
    <row r="203" spans="1:5">
      <c r="A203" s="78" t="s">
        <v>173</v>
      </c>
      <c r="B203" s="288"/>
      <c r="C203" s="303"/>
      <c r="D203" s="87">
        <v>11318</v>
      </c>
      <c r="E203" s="87">
        <f t="shared" si="12"/>
        <v>11318</v>
      </c>
    </row>
    <row r="204" spans="1:5">
      <c r="A204" s="237"/>
      <c r="B204" s="288"/>
      <c r="C204" s="303"/>
      <c r="D204" s="589"/>
      <c r="E204" s="591">
        <f t="shared" si="12"/>
        <v>0</v>
      </c>
    </row>
    <row r="205" spans="1:5">
      <c r="A205" s="88" t="s">
        <v>184</v>
      </c>
      <c r="B205" s="288"/>
      <c r="C205" s="303"/>
      <c r="D205" s="587">
        <v>15144</v>
      </c>
      <c r="E205" s="587">
        <f t="shared" si="12"/>
        <v>15144</v>
      </c>
    </row>
    <row r="206" spans="1:5">
      <c r="A206" s="88"/>
      <c r="B206" s="301"/>
      <c r="E206" s="301">
        <f t="shared" si="12"/>
        <v>0</v>
      </c>
    </row>
    <row r="207" spans="1:5" ht="15.75">
      <c r="A207" s="95" t="s">
        <v>719</v>
      </c>
      <c r="B207" s="288"/>
      <c r="E207" s="288">
        <f t="shared" si="12"/>
        <v>0</v>
      </c>
    </row>
    <row r="208" spans="1:5" ht="15">
      <c r="A208" s="118"/>
      <c r="B208" s="288"/>
      <c r="E208" s="288">
        <f t="shared" si="12"/>
        <v>0</v>
      </c>
    </row>
    <row r="209" spans="1:6">
      <c r="A209" s="90" t="s">
        <v>168</v>
      </c>
      <c r="B209" s="147">
        <f>B216+B240</f>
        <v>17102956</v>
      </c>
      <c r="C209" s="147">
        <f>C216+C240</f>
        <v>217077</v>
      </c>
      <c r="D209" s="147">
        <f>D216+D240</f>
        <v>118268</v>
      </c>
      <c r="E209" s="147">
        <f t="shared" si="12"/>
        <v>17438301</v>
      </c>
    </row>
    <row r="210" spans="1:6">
      <c r="A210" s="67" t="s">
        <v>185</v>
      </c>
      <c r="B210" s="285">
        <v>2745800</v>
      </c>
      <c r="C210" s="285"/>
      <c r="D210" s="285"/>
      <c r="E210" s="285">
        <f t="shared" si="12"/>
        <v>2745800</v>
      </c>
    </row>
    <row r="211" spans="1:6">
      <c r="A211" s="68" t="s">
        <v>169</v>
      </c>
      <c r="B211" s="159">
        <f>SUM(B212:B214)</f>
        <v>17102956</v>
      </c>
      <c r="C211" s="159">
        <f>SUM(C212:C214)</f>
        <v>217077</v>
      </c>
      <c r="D211" s="159">
        <f>SUM(D212:D214)</f>
        <v>118268</v>
      </c>
      <c r="E211" s="159">
        <f t="shared" si="12"/>
        <v>17438301</v>
      </c>
    </row>
    <row r="212" spans="1:6">
      <c r="A212" s="92" t="s">
        <v>170</v>
      </c>
      <c r="B212" s="149">
        <v>4963500</v>
      </c>
      <c r="C212" s="149">
        <v>43000</v>
      </c>
      <c r="D212" s="149">
        <v>112000</v>
      </c>
      <c r="E212" s="149">
        <f t="shared" si="12"/>
        <v>5118500</v>
      </c>
    </row>
    <row r="213" spans="1:6">
      <c r="A213" s="93" t="s">
        <v>152</v>
      </c>
      <c r="B213" s="149">
        <v>28547</v>
      </c>
      <c r="C213" s="149">
        <v>0</v>
      </c>
      <c r="D213" s="149">
        <v>0</v>
      </c>
      <c r="E213" s="149">
        <f t="shared" si="12"/>
        <v>28547</v>
      </c>
    </row>
    <row r="214" spans="1:6" s="286" customFormat="1">
      <c r="A214" s="93" t="s">
        <v>171</v>
      </c>
      <c r="B214" s="149">
        <f>B209-B212-B213</f>
        <v>12110909</v>
      </c>
      <c r="C214" s="149">
        <f>C209-C212-C213</f>
        <v>174077</v>
      </c>
      <c r="D214" s="149">
        <f>D209-D212-D213</f>
        <v>6268</v>
      </c>
      <c r="E214" s="149">
        <f t="shared" si="12"/>
        <v>12291254</v>
      </c>
      <c r="F214" s="250"/>
    </row>
    <row r="215" spans="1:6">
      <c r="A215" s="93"/>
      <c r="B215" s="288"/>
      <c r="C215" s="288"/>
      <c r="D215" s="288"/>
      <c r="E215" s="288">
        <f t="shared" si="12"/>
        <v>0</v>
      </c>
    </row>
    <row r="216" spans="1:6" ht="15">
      <c r="A216" s="300" t="s">
        <v>186</v>
      </c>
      <c r="B216" s="154">
        <f>B219+B222+B225+B228+B231+B234+B237</f>
        <v>13705957</v>
      </c>
      <c r="C216" s="154">
        <f>C219+C222+C225+C228+C231+C234+C237</f>
        <v>137384</v>
      </c>
      <c r="D216" s="154">
        <f>D219+D222+D225+D228+D231+D234+D237</f>
        <v>86938</v>
      </c>
      <c r="E216" s="154">
        <f t="shared" si="12"/>
        <v>13930279</v>
      </c>
    </row>
    <row r="217" spans="1:6">
      <c r="A217" s="81" t="s">
        <v>173</v>
      </c>
      <c r="B217" s="301">
        <f>B220+B223+B226+B229+B232+B235+B238</f>
        <v>6536657</v>
      </c>
      <c r="C217" s="301">
        <f>C220+C223+C226+C229+C232+C235+C238</f>
        <v>22760</v>
      </c>
      <c r="D217" s="301">
        <f>D220+D223+D226+D229+D232+D235+D238</f>
        <v>28300</v>
      </c>
      <c r="E217" s="301">
        <f t="shared" si="12"/>
        <v>6587717</v>
      </c>
    </row>
    <row r="218" spans="1:6" s="309" customFormat="1" ht="15">
      <c r="A218" s="300"/>
      <c r="B218" s="280"/>
      <c r="C218" s="280"/>
      <c r="D218" s="280"/>
      <c r="E218" s="280">
        <f t="shared" si="12"/>
        <v>0</v>
      </c>
    </row>
    <row r="219" spans="1:6">
      <c r="A219" s="298" t="s">
        <v>720</v>
      </c>
      <c r="B219" s="147">
        <v>2657081</v>
      </c>
      <c r="C219" s="147">
        <v>0</v>
      </c>
      <c r="D219" s="284">
        <v>4750</v>
      </c>
      <c r="E219" s="147">
        <f t="shared" si="12"/>
        <v>2661831</v>
      </c>
    </row>
    <row r="220" spans="1:6">
      <c r="A220" s="81" t="s">
        <v>173</v>
      </c>
      <c r="B220" s="303">
        <v>1403038</v>
      </c>
      <c r="C220" s="301">
        <v>0</v>
      </c>
      <c r="D220" s="301"/>
      <c r="E220" s="303">
        <f t="shared" si="12"/>
        <v>1403038</v>
      </c>
    </row>
    <row r="221" spans="1:6" s="309" customFormat="1">
      <c r="A221" s="255"/>
      <c r="B221" s="155"/>
      <c r="C221" s="278"/>
      <c r="D221" s="278"/>
      <c r="E221" s="155">
        <f t="shared" si="12"/>
        <v>0</v>
      </c>
    </row>
    <row r="222" spans="1:6" ht="24">
      <c r="A222" s="310" t="s">
        <v>721</v>
      </c>
      <c r="B222" s="147">
        <v>874537</v>
      </c>
      <c r="C222" s="147">
        <v>600</v>
      </c>
      <c r="D222" s="147">
        <v>-6000</v>
      </c>
      <c r="E222" s="147">
        <f t="shared" si="12"/>
        <v>869137</v>
      </c>
    </row>
    <row r="223" spans="1:6">
      <c r="A223" s="81" t="s">
        <v>173</v>
      </c>
      <c r="B223" s="303">
        <v>488936</v>
      </c>
      <c r="C223" s="301">
        <v>0</v>
      </c>
      <c r="D223" s="301">
        <v>2000</v>
      </c>
      <c r="E223" s="303">
        <f t="shared" si="12"/>
        <v>490936</v>
      </c>
    </row>
    <row r="224" spans="1:6" s="309" customFormat="1">
      <c r="A224" s="255"/>
      <c r="B224" s="155"/>
      <c r="C224" s="278"/>
      <c r="D224" s="278"/>
      <c r="E224" s="155">
        <f t="shared" si="12"/>
        <v>0</v>
      </c>
    </row>
    <row r="225" spans="1:5">
      <c r="A225" s="298" t="s">
        <v>722</v>
      </c>
      <c r="B225" s="147">
        <v>2152599</v>
      </c>
      <c r="C225" s="147">
        <v>103000</v>
      </c>
      <c r="D225" s="284">
        <v>-2362</v>
      </c>
      <c r="E225" s="147">
        <f t="shared" si="12"/>
        <v>2253237</v>
      </c>
    </row>
    <row r="226" spans="1:5">
      <c r="A226" s="81" t="s">
        <v>173</v>
      </c>
      <c r="B226" s="303">
        <v>1083882</v>
      </c>
      <c r="C226" s="301">
        <v>22760</v>
      </c>
      <c r="D226" s="301"/>
      <c r="E226" s="303">
        <f t="shared" si="12"/>
        <v>1106642</v>
      </c>
    </row>
    <row r="227" spans="1:5">
      <c r="A227" s="255"/>
      <c r="B227" s="155"/>
      <c r="E227" s="155">
        <f t="shared" si="12"/>
        <v>0</v>
      </c>
    </row>
    <row r="228" spans="1:5">
      <c r="A228" s="298" t="s">
        <v>457</v>
      </c>
      <c r="B228" s="147">
        <v>4897982</v>
      </c>
      <c r="C228" s="147">
        <v>1484</v>
      </c>
      <c r="D228" s="284">
        <v>-24450</v>
      </c>
      <c r="E228" s="147">
        <f t="shared" si="12"/>
        <v>4875016</v>
      </c>
    </row>
    <row r="229" spans="1:5">
      <c r="A229" s="81" t="s">
        <v>173</v>
      </c>
      <c r="B229" s="303">
        <v>2115423</v>
      </c>
      <c r="C229" s="301">
        <v>0</v>
      </c>
      <c r="D229" s="301">
        <v>26300</v>
      </c>
      <c r="E229" s="303">
        <f t="shared" si="12"/>
        <v>2141723</v>
      </c>
    </row>
    <row r="230" spans="1:5">
      <c r="A230" s="255"/>
      <c r="B230" s="155"/>
      <c r="E230" s="155">
        <f t="shared" si="12"/>
        <v>0</v>
      </c>
    </row>
    <row r="231" spans="1:5">
      <c r="A231" s="298" t="s">
        <v>458</v>
      </c>
      <c r="B231" s="147">
        <v>1873347</v>
      </c>
      <c r="C231" s="147">
        <v>26300</v>
      </c>
      <c r="D231" s="147">
        <f>50000+65000</f>
        <v>115000</v>
      </c>
      <c r="E231" s="147">
        <f t="shared" si="12"/>
        <v>2014647</v>
      </c>
    </row>
    <row r="232" spans="1:5">
      <c r="A232" s="81" t="s">
        <v>173</v>
      </c>
      <c r="B232" s="303">
        <v>768814</v>
      </c>
      <c r="C232" s="301">
        <v>0</v>
      </c>
      <c r="D232" s="301"/>
      <c r="E232" s="303">
        <f t="shared" si="12"/>
        <v>768814</v>
      </c>
    </row>
    <row r="233" spans="1:5">
      <c r="A233" s="255"/>
      <c r="B233" s="155"/>
      <c r="E233" s="155">
        <f t="shared" si="12"/>
        <v>0</v>
      </c>
    </row>
    <row r="234" spans="1:5">
      <c r="A234" s="298" t="s">
        <v>459</v>
      </c>
      <c r="B234" s="147">
        <v>927524</v>
      </c>
      <c r="C234" s="147">
        <v>0</v>
      </c>
      <c r="D234" s="147"/>
      <c r="E234" s="147">
        <f t="shared" si="12"/>
        <v>927524</v>
      </c>
    </row>
    <row r="235" spans="1:5">
      <c r="A235" s="81" t="s">
        <v>173</v>
      </c>
      <c r="B235" s="303">
        <v>519726</v>
      </c>
      <c r="C235" s="301">
        <v>0</v>
      </c>
      <c r="D235" s="301"/>
      <c r="E235" s="303">
        <f t="shared" si="12"/>
        <v>519726</v>
      </c>
    </row>
    <row r="236" spans="1:5">
      <c r="A236" s="255"/>
      <c r="B236" s="155"/>
      <c r="E236" s="155">
        <f t="shared" si="12"/>
        <v>0</v>
      </c>
    </row>
    <row r="237" spans="1:5">
      <c r="A237" s="298" t="s">
        <v>460</v>
      </c>
      <c r="B237" s="147">
        <v>322887</v>
      </c>
      <c r="C237" s="147">
        <v>6000</v>
      </c>
      <c r="D237" s="147"/>
      <c r="E237" s="147">
        <f t="shared" si="12"/>
        <v>328887</v>
      </c>
    </row>
    <row r="238" spans="1:5">
      <c r="A238" s="81" t="s">
        <v>173</v>
      </c>
      <c r="B238" s="303">
        <v>156838</v>
      </c>
      <c r="C238" s="301">
        <v>0</v>
      </c>
      <c r="D238" s="301"/>
      <c r="E238" s="303">
        <f t="shared" si="12"/>
        <v>156838</v>
      </c>
    </row>
    <row r="239" spans="1:5">
      <c r="A239" s="255"/>
      <c r="B239" s="155"/>
      <c r="E239" s="155">
        <f t="shared" si="12"/>
        <v>0</v>
      </c>
    </row>
    <row r="240" spans="1:5">
      <c r="A240" s="90" t="s">
        <v>172</v>
      </c>
      <c r="B240" s="147">
        <f>B242+B245+B266+B286+B288+B292+B294+B296+B298+B290</f>
        <v>3396999</v>
      </c>
      <c r="C240" s="147">
        <f>C242+C245+C266+C286+C288+C292+C294+C296+C298+C290</f>
        <v>79693</v>
      </c>
      <c r="D240" s="147">
        <f>D242+D245+D266+D286+D288+D292+D294+D296+D298+D290</f>
        <v>31330</v>
      </c>
      <c r="E240" s="147">
        <f t="shared" si="12"/>
        <v>3508022</v>
      </c>
    </row>
    <row r="241" spans="1:5">
      <c r="A241" s="90"/>
      <c r="B241" s="149"/>
      <c r="E241" s="149">
        <f t="shared" si="12"/>
        <v>0</v>
      </c>
    </row>
    <row r="242" spans="1:5">
      <c r="A242" s="77" t="s">
        <v>750</v>
      </c>
      <c r="B242" s="148">
        <f>588278+11496+23662+203+123600-78600+1131</f>
        <v>669770</v>
      </c>
      <c r="C242" s="148">
        <f>-1300+5993</f>
        <v>4693</v>
      </c>
      <c r="D242" s="148">
        <f>12000-2232-2000+7000</f>
        <v>14768</v>
      </c>
      <c r="E242" s="148">
        <f t="shared" si="12"/>
        <v>689231</v>
      </c>
    </row>
    <row r="243" spans="1:5">
      <c r="A243" s="78" t="s">
        <v>173</v>
      </c>
      <c r="B243" s="100">
        <f>333015+8592+17685+845</f>
        <v>360137</v>
      </c>
      <c r="C243" s="100"/>
      <c r="D243" s="100">
        <v>-1668</v>
      </c>
      <c r="E243" s="100">
        <f t="shared" si="12"/>
        <v>358469</v>
      </c>
    </row>
    <row r="244" spans="1:5">
      <c r="A244" s="90"/>
      <c r="B244" s="149"/>
      <c r="E244" s="149">
        <f t="shared" si="12"/>
        <v>0</v>
      </c>
    </row>
    <row r="245" spans="1:5">
      <c r="A245" s="77" t="s">
        <v>369</v>
      </c>
      <c r="B245" s="148">
        <f>1321190+4000</f>
        <v>1325190</v>
      </c>
      <c r="C245" s="148">
        <f>130000+25000</f>
        <v>155000</v>
      </c>
      <c r="D245" s="148">
        <v>19200</v>
      </c>
      <c r="E245" s="148">
        <f t="shared" si="12"/>
        <v>1499390</v>
      </c>
    </row>
    <row r="246" spans="1:5">
      <c r="A246" s="78" t="s">
        <v>173</v>
      </c>
      <c r="B246" s="100">
        <v>90000</v>
      </c>
      <c r="E246" s="100">
        <f t="shared" si="12"/>
        <v>90000</v>
      </c>
    </row>
    <row r="247" spans="1:5">
      <c r="A247" s="78" t="s">
        <v>188</v>
      </c>
      <c r="B247" s="100"/>
      <c r="E247" s="100">
        <f t="shared" si="12"/>
        <v>0</v>
      </c>
    </row>
    <row r="248" spans="1:5">
      <c r="A248" s="115" t="s">
        <v>374</v>
      </c>
      <c r="B248" s="158">
        <v>60000</v>
      </c>
      <c r="C248" s="158">
        <v>4765</v>
      </c>
      <c r="D248" s="158"/>
      <c r="E248" s="158">
        <f t="shared" si="12"/>
        <v>64765</v>
      </c>
    </row>
    <row r="249" spans="1:5">
      <c r="A249" s="115" t="s">
        <v>568</v>
      </c>
      <c r="B249" s="158">
        <v>20000</v>
      </c>
      <c r="C249" s="158"/>
      <c r="D249" s="158"/>
      <c r="E249" s="158">
        <f t="shared" si="12"/>
        <v>20000</v>
      </c>
    </row>
    <row r="250" spans="1:5">
      <c r="A250" s="115" t="s">
        <v>189</v>
      </c>
      <c r="B250" s="158">
        <v>40000</v>
      </c>
      <c r="C250" s="158">
        <v>20000</v>
      </c>
      <c r="D250" s="158"/>
      <c r="E250" s="158">
        <f t="shared" si="12"/>
        <v>60000</v>
      </c>
    </row>
    <row r="251" spans="1:5">
      <c r="A251" s="115" t="s">
        <v>361</v>
      </c>
      <c r="B251" s="158">
        <v>12800</v>
      </c>
      <c r="C251" s="158"/>
      <c r="D251" s="158"/>
      <c r="E251" s="158">
        <f t="shared" si="12"/>
        <v>12800</v>
      </c>
    </row>
    <row r="252" spans="1:5">
      <c r="A252" s="115" t="s">
        <v>373</v>
      </c>
      <c r="B252" s="158">
        <f>235000+4000</f>
        <v>239000</v>
      </c>
      <c r="C252" s="158"/>
      <c r="D252" s="158">
        <v>18000</v>
      </c>
      <c r="E252" s="158">
        <f t="shared" si="12"/>
        <v>257000</v>
      </c>
    </row>
    <row r="253" spans="1:5">
      <c r="A253" s="110" t="s">
        <v>690</v>
      </c>
      <c r="B253" s="158">
        <v>4000</v>
      </c>
      <c r="C253" s="158"/>
      <c r="D253" s="158"/>
      <c r="E253" s="158">
        <f t="shared" si="12"/>
        <v>4000</v>
      </c>
    </row>
    <row r="254" spans="1:5">
      <c r="A254" s="115" t="s">
        <v>55</v>
      </c>
      <c r="B254" s="158">
        <v>618000</v>
      </c>
      <c r="C254" s="158"/>
      <c r="D254" s="158"/>
      <c r="E254" s="158">
        <f t="shared" si="12"/>
        <v>618000</v>
      </c>
    </row>
    <row r="255" spans="1:5">
      <c r="A255" s="115" t="s">
        <v>190</v>
      </c>
      <c r="B255" s="158">
        <v>15000</v>
      </c>
      <c r="C255" s="158">
        <v>90000</v>
      </c>
      <c r="D255" s="158"/>
      <c r="E255" s="158">
        <f t="shared" si="12"/>
        <v>105000</v>
      </c>
    </row>
    <row r="256" spans="1:5">
      <c r="A256" s="115" t="s">
        <v>517</v>
      </c>
      <c r="B256" s="158">
        <v>30000</v>
      </c>
      <c r="C256" s="158"/>
      <c r="D256" s="158"/>
      <c r="E256" s="158">
        <f t="shared" si="12"/>
        <v>30000</v>
      </c>
    </row>
    <row r="257" spans="1:5">
      <c r="A257" s="115" t="s">
        <v>604</v>
      </c>
      <c r="B257" s="158">
        <v>30000</v>
      </c>
      <c r="C257" s="158"/>
      <c r="D257" s="158"/>
      <c r="E257" s="158">
        <f t="shared" si="12"/>
        <v>30000</v>
      </c>
    </row>
    <row r="258" spans="1:5">
      <c r="A258" s="115" t="s">
        <v>592</v>
      </c>
      <c r="B258" s="158">
        <v>30000</v>
      </c>
      <c r="C258" s="158"/>
      <c r="D258" s="158"/>
      <c r="E258" s="158">
        <f t="shared" si="12"/>
        <v>30000</v>
      </c>
    </row>
    <row r="259" spans="1:5">
      <c r="A259" s="115" t="s">
        <v>53</v>
      </c>
      <c r="B259" s="158">
        <v>6000</v>
      </c>
      <c r="C259" s="158"/>
      <c r="D259" s="158"/>
      <c r="E259" s="158">
        <f t="shared" si="12"/>
        <v>6000</v>
      </c>
    </row>
    <row r="260" spans="1:5">
      <c r="A260" s="115" t="s">
        <v>593</v>
      </c>
      <c r="B260" s="158">
        <v>30000</v>
      </c>
      <c r="C260" s="158">
        <v>30000</v>
      </c>
      <c r="D260" s="158"/>
      <c r="E260" s="158">
        <f t="shared" si="12"/>
        <v>60000</v>
      </c>
    </row>
    <row r="261" spans="1:5">
      <c r="A261" s="115" t="s">
        <v>54</v>
      </c>
      <c r="B261" s="158">
        <v>6000</v>
      </c>
      <c r="C261" s="158"/>
      <c r="D261" s="158"/>
      <c r="E261" s="158">
        <f t="shared" si="12"/>
        <v>6000</v>
      </c>
    </row>
    <row r="262" spans="1:5">
      <c r="A262" s="115" t="s">
        <v>56</v>
      </c>
      <c r="B262" s="158">
        <v>70000</v>
      </c>
      <c r="C262" s="158">
        <v>25000</v>
      </c>
      <c r="D262" s="158"/>
      <c r="E262" s="158">
        <f t="shared" si="12"/>
        <v>95000</v>
      </c>
    </row>
    <row r="263" spans="1:5">
      <c r="A263" s="115"/>
      <c r="B263" s="158"/>
      <c r="E263" s="158">
        <f t="shared" ref="E263:E326" si="13">SUM(B263:D263)</f>
        <v>0</v>
      </c>
    </row>
    <row r="264" spans="1:5" ht="22.5">
      <c r="A264" s="124" t="s">
        <v>10</v>
      </c>
      <c r="B264" s="158"/>
      <c r="E264" s="158">
        <f t="shared" si="13"/>
        <v>0</v>
      </c>
    </row>
    <row r="265" spans="1:5">
      <c r="A265" s="126"/>
      <c r="B265" s="152"/>
      <c r="E265" s="152">
        <f t="shared" si="13"/>
        <v>0</v>
      </c>
    </row>
    <row r="266" spans="1:5">
      <c r="A266" s="77" t="s">
        <v>385</v>
      </c>
      <c r="B266" s="148">
        <f>729225-4000</f>
        <v>725225</v>
      </c>
      <c r="C266" s="148">
        <v>15000</v>
      </c>
      <c r="D266" s="148">
        <f>D272</f>
        <v>7000</v>
      </c>
      <c r="E266" s="148">
        <f t="shared" si="13"/>
        <v>747225</v>
      </c>
    </row>
    <row r="267" spans="1:5">
      <c r="A267" s="127" t="s">
        <v>525</v>
      </c>
      <c r="B267" s="158">
        <v>25000</v>
      </c>
      <c r="E267" s="158">
        <f t="shared" si="13"/>
        <v>25000</v>
      </c>
    </row>
    <row r="268" spans="1:5">
      <c r="A268" s="128" t="s">
        <v>370</v>
      </c>
      <c r="B268" s="158">
        <v>12000</v>
      </c>
      <c r="E268" s="158">
        <f t="shared" si="13"/>
        <v>12000</v>
      </c>
    </row>
    <row r="269" spans="1:5">
      <c r="A269" s="120" t="s">
        <v>362</v>
      </c>
      <c r="B269" s="158">
        <v>57000</v>
      </c>
      <c r="E269" s="158">
        <f t="shared" si="13"/>
        <v>57000</v>
      </c>
    </row>
    <row r="270" spans="1:5">
      <c r="A270" s="120" t="s">
        <v>578</v>
      </c>
      <c r="B270" s="158">
        <v>10000</v>
      </c>
      <c r="E270" s="158">
        <f t="shared" si="13"/>
        <v>10000</v>
      </c>
    </row>
    <row r="271" spans="1:5">
      <c r="A271" s="120" t="s">
        <v>363</v>
      </c>
      <c r="B271" s="158">
        <v>30000</v>
      </c>
      <c r="E271" s="158">
        <f t="shared" si="13"/>
        <v>30000</v>
      </c>
    </row>
    <row r="272" spans="1:5">
      <c r="A272" s="120" t="s">
        <v>494</v>
      </c>
      <c r="B272" s="158">
        <v>35000</v>
      </c>
      <c r="D272" s="278">
        <v>7000</v>
      </c>
      <c r="E272" s="158">
        <f t="shared" si="13"/>
        <v>42000</v>
      </c>
    </row>
    <row r="273" spans="1:5">
      <c r="A273" s="120" t="s">
        <v>386</v>
      </c>
      <c r="B273" s="158">
        <v>10000</v>
      </c>
      <c r="E273" s="158">
        <f t="shared" si="13"/>
        <v>10000</v>
      </c>
    </row>
    <row r="274" spans="1:5">
      <c r="A274" s="120" t="s">
        <v>538</v>
      </c>
      <c r="B274" s="158">
        <v>40000</v>
      </c>
      <c r="E274" s="158">
        <f t="shared" si="13"/>
        <v>40000</v>
      </c>
    </row>
    <row r="275" spans="1:5">
      <c r="A275" s="120" t="s">
        <v>594</v>
      </c>
      <c r="B275" s="158">
        <v>20000</v>
      </c>
      <c r="E275" s="158">
        <f t="shared" si="13"/>
        <v>20000</v>
      </c>
    </row>
    <row r="276" spans="1:5">
      <c r="A276" s="120" t="s">
        <v>558</v>
      </c>
      <c r="B276" s="158">
        <v>17000</v>
      </c>
      <c r="E276" s="158">
        <f t="shared" si="13"/>
        <v>17000</v>
      </c>
    </row>
    <row r="277" spans="1:5">
      <c r="A277" s="120" t="s">
        <v>566</v>
      </c>
      <c r="B277" s="158">
        <v>15000</v>
      </c>
      <c r="E277" s="158">
        <f t="shared" si="13"/>
        <v>15000</v>
      </c>
    </row>
    <row r="278" spans="1:5">
      <c r="A278" s="120" t="s">
        <v>691</v>
      </c>
      <c r="B278" s="158">
        <v>2500</v>
      </c>
      <c r="E278" s="158">
        <f t="shared" si="13"/>
        <v>2500</v>
      </c>
    </row>
    <row r="279" spans="1:5">
      <c r="A279" s="120" t="s">
        <v>595</v>
      </c>
      <c r="B279" s="158">
        <v>50000</v>
      </c>
      <c r="E279" s="158">
        <f t="shared" si="13"/>
        <v>50000</v>
      </c>
    </row>
    <row r="280" spans="1:5">
      <c r="A280" s="120" t="s">
        <v>596</v>
      </c>
      <c r="B280" s="158">
        <v>28000</v>
      </c>
      <c r="E280" s="158">
        <f t="shared" si="13"/>
        <v>28000</v>
      </c>
    </row>
    <row r="281" spans="1:5">
      <c r="A281" s="120" t="s">
        <v>608</v>
      </c>
      <c r="B281" s="158">
        <v>10000</v>
      </c>
      <c r="E281" s="158">
        <f t="shared" si="13"/>
        <v>10000</v>
      </c>
    </row>
    <row r="282" spans="1:5">
      <c r="A282" s="120" t="s">
        <v>609</v>
      </c>
      <c r="B282" s="158">
        <v>15000</v>
      </c>
      <c r="E282" s="158">
        <f t="shared" si="13"/>
        <v>15000</v>
      </c>
    </row>
    <row r="283" spans="1:5">
      <c r="A283" s="120" t="s">
        <v>752</v>
      </c>
      <c r="B283" s="158"/>
      <c r="C283" s="158">
        <v>5000</v>
      </c>
      <c r="D283" s="158"/>
      <c r="E283" s="158">
        <f t="shared" si="13"/>
        <v>5000</v>
      </c>
    </row>
    <row r="284" spans="1:5">
      <c r="A284" s="120" t="s">
        <v>751</v>
      </c>
      <c r="B284" s="158"/>
      <c r="C284" s="158">
        <v>10000</v>
      </c>
      <c r="D284" s="158"/>
      <c r="E284" s="158">
        <f t="shared" si="13"/>
        <v>10000</v>
      </c>
    </row>
    <row r="285" spans="1:5">
      <c r="A285" s="120"/>
      <c r="B285" s="158"/>
      <c r="E285" s="158">
        <f t="shared" si="13"/>
        <v>0</v>
      </c>
    </row>
    <row r="286" spans="1:5">
      <c r="A286" s="77" t="s">
        <v>360</v>
      </c>
      <c r="B286" s="148">
        <v>500000</v>
      </c>
      <c r="E286" s="148">
        <f t="shared" si="13"/>
        <v>500000</v>
      </c>
    </row>
    <row r="287" spans="1:5">
      <c r="A287" s="120"/>
      <c r="B287" s="158"/>
      <c r="E287" s="158">
        <f t="shared" si="13"/>
        <v>0</v>
      </c>
    </row>
    <row r="288" spans="1:5">
      <c r="A288" s="77" t="s">
        <v>57</v>
      </c>
      <c r="B288" s="280">
        <v>100000</v>
      </c>
      <c r="C288" s="280">
        <v>-95000</v>
      </c>
      <c r="D288" s="280">
        <v>2362</v>
      </c>
      <c r="E288" s="280">
        <f t="shared" si="13"/>
        <v>7362</v>
      </c>
    </row>
    <row r="289" spans="1:5">
      <c r="A289" s="77"/>
      <c r="B289" s="280"/>
      <c r="E289" s="280">
        <f t="shared" si="13"/>
        <v>0</v>
      </c>
    </row>
    <row r="290" spans="1:5">
      <c r="A290" s="77" t="s">
        <v>674</v>
      </c>
      <c r="B290" s="280">
        <v>25500</v>
      </c>
      <c r="E290" s="280">
        <f t="shared" si="13"/>
        <v>25500</v>
      </c>
    </row>
    <row r="291" spans="1:5">
      <c r="A291" s="77"/>
      <c r="B291" s="280"/>
      <c r="E291" s="280">
        <f t="shared" si="13"/>
        <v>0</v>
      </c>
    </row>
    <row r="292" spans="1:5">
      <c r="A292" s="77" t="s">
        <v>413</v>
      </c>
      <c r="B292" s="148">
        <v>1300</v>
      </c>
      <c r="E292" s="148">
        <f t="shared" si="13"/>
        <v>1300</v>
      </c>
    </row>
    <row r="293" spans="1:5">
      <c r="A293" s="77"/>
      <c r="B293" s="148"/>
      <c r="E293" s="148">
        <f t="shared" si="13"/>
        <v>0</v>
      </c>
    </row>
    <row r="294" spans="1:5">
      <c r="A294" s="77" t="s">
        <v>364</v>
      </c>
      <c r="B294" s="148">
        <v>4430</v>
      </c>
      <c r="E294" s="148">
        <f t="shared" si="13"/>
        <v>4430</v>
      </c>
    </row>
    <row r="295" spans="1:5">
      <c r="A295" s="77"/>
      <c r="B295" s="288"/>
      <c r="E295" s="288">
        <f t="shared" si="13"/>
        <v>0</v>
      </c>
    </row>
    <row r="296" spans="1:5">
      <c r="A296" s="129" t="s">
        <v>579</v>
      </c>
      <c r="B296" s="148">
        <v>12000</v>
      </c>
      <c r="D296" s="278">
        <v>-12000</v>
      </c>
      <c r="E296" s="148">
        <f t="shared" si="13"/>
        <v>0</v>
      </c>
    </row>
    <row r="297" spans="1:5">
      <c r="A297" s="88"/>
      <c r="B297" s="288"/>
      <c r="E297" s="288">
        <f t="shared" si="13"/>
        <v>0</v>
      </c>
    </row>
    <row r="298" spans="1:5" ht="51">
      <c r="A298" s="236" t="s">
        <v>692</v>
      </c>
      <c r="B298" s="148">
        <v>33584</v>
      </c>
      <c r="E298" s="148">
        <f t="shared" si="13"/>
        <v>33584</v>
      </c>
    </row>
    <row r="299" spans="1:5">
      <c r="A299" s="78" t="s">
        <v>173</v>
      </c>
      <c r="B299" s="100">
        <v>13345</v>
      </c>
      <c r="E299" s="100">
        <f t="shared" si="13"/>
        <v>13345</v>
      </c>
    </row>
    <row r="300" spans="1:5">
      <c r="A300" s="237"/>
      <c r="B300" s="307"/>
      <c r="E300" s="307">
        <f t="shared" si="13"/>
        <v>0</v>
      </c>
    </row>
    <row r="301" spans="1:5">
      <c r="A301" s="88" t="s">
        <v>184</v>
      </c>
      <c r="B301" s="303">
        <v>28547</v>
      </c>
      <c r="E301" s="303">
        <f t="shared" si="13"/>
        <v>28547</v>
      </c>
    </row>
    <row r="302" spans="1:5">
      <c r="A302" s="88"/>
      <c r="B302" s="288"/>
      <c r="E302" s="288">
        <f t="shared" si="13"/>
        <v>0</v>
      </c>
    </row>
    <row r="303" spans="1:5">
      <c r="A303" s="78"/>
      <c r="B303" s="288"/>
      <c r="E303" s="288">
        <f t="shared" si="13"/>
        <v>0</v>
      </c>
    </row>
    <row r="304" spans="1:5" ht="15.75">
      <c r="A304" s="95" t="s">
        <v>191</v>
      </c>
      <c r="B304" s="288"/>
      <c r="E304" s="288">
        <f t="shared" si="13"/>
        <v>0</v>
      </c>
    </row>
    <row r="305" spans="1:6">
      <c r="A305" s="90"/>
      <c r="B305" s="288"/>
      <c r="E305" s="288">
        <f t="shared" si="13"/>
        <v>0</v>
      </c>
    </row>
    <row r="306" spans="1:6">
      <c r="A306" s="90" t="s">
        <v>168</v>
      </c>
      <c r="B306" s="284">
        <f>B313+B345+B353</f>
        <v>15119766</v>
      </c>
      <c r="C306" s="284">
        <f>C313+C345+C353</f>
        <v>103015</v>
      </c>
      <c r="D306" s="284">
        <f>D313+D345+D353</f>
        <v>-127782</v>
      </c>
      <c r="E306" s="284">
        <f t="shared" si="13"/>
        <v>15094999</v>
      </c>
    </row>
    <row r="307" spans="1:6">
      <c r="A307" s="67" t="s">
        <v>185</v>
      </c>
      <c r="B307" s="285">
        <v>2899920</v>
      </c>
      <c r="C307" s="280">
        <v>50315</v>
      </c>
      <c r="D307" s="280">
        <v>71592</v>
      </c>
      <c r="E307" s="285">
        <f t="shared" si="13"/>
        <v>3021827</v>
      </c>
    </row>
    <row r="308" spans="1:6">
      <c r="A308" s="91" t="s">
        <v>169</v>
      </c>
      <c r="B308" s="284">
        <f>SUM(B309:B311)</f>
        <v>15119766</v>
      </c>
      <c r="C308" s="284">
        <f t="shared" ref="C308:D308" si="14">SUM(C309:C311)</f>
        <v>103015</v>
      </c>
      <c r="D308" s="284">
        <f t="shared" si="14"/>
        <v>-127782</v>
      </c>
      <c r="E308" s="284">
        <f t="shared" si="13"/>
        <v>15094999</v>
      </c>
    </row>
    <row r="309" spans="1:6">
      <c r="A309" s="92" t="s">
        <v>170</v>
      </c>
      <c r="B309" s="285">
        <v>4665001</v>
      </c>
      <c r="C309" s="285">
        <v>-88745</v>
      </c>
      <c r="D309" s="285">
        <v>-44052</v>
      </c>
      <c r="E309" s="285">
        <f t="shared" si="13"/>
        <v>4532204</v>
      </c>
    </row>
    <row r="310" spans="1:6">
      <c r="A310" s="93" t="s">
        <v>152</v>
      </c>
      <c r="B310" s="285"/>
      <c r="C310" s="285">
        <v>25296</v>
      </c>
      <c r="D310" s="285"/>
      <c r="E310" s="285">
        <f t="shared" si="13"/>
        <v>25296</v>
      </c>
    </row>
    <row r="311" spans="1:6" s="286" customFormat="1">
      <c r="A311" s="93" t="s">
        <v>171</v>
      </c>
      <c r="B311" s="285">
        <f>B306-B309</f>
        <v>10454765</v>
      </c>
      <c r="C311" s="285">
        <f>C306-C309-C310</f>
        <v>166464</v>
      </c>
      <c r="D311" s="285">
        <f>D306-D309-D310</f>
        <v>-83730</v>
      </c>
      <c r="E311" s="285">
        <f t="shared" si="13"/>
        <v>10537499</v>
      </c>
      <c r="F311" s="250"/>
    </row>
    <row r="312" spans="1:6">
      <c r="A312" s="293"/>
      <c r="B312" s="288"/>
      <c r="C312" s="280"/>
      <c r="D312" s="280"/>
      <c r="E312" s="288">
        <f t="shared" si="13"/>
        <v>0</v>
      </c>
    </row>
    <row r="313" spans="1:6" ht="15">
      <c r="A313" s="300" t="s">
        <v>192</v>
      </c>
      <c r="B313" s="154">
        <f>B314+B333+B338</f>
        <v>12298826</v>
      </c>
      <c r="C313" s="154">
        <f>C314+C333+C338</f>
        <v>36255</v>
      </c>
      <c r="D313" s="154">
        <f>D314+D333+D338</f>
        <v>-126691</v>
      </c>
      <c r="E313" s="154">
        <f t="shared" si="13"/>
        <v>12208390</v>
      </c>
    </row>
    <row r="314" spans="1:6">
      <c r="A314" s="298" t="s">
        <v>193</v>
      </c>
      <c r="B314" s="284">
        <f>B318+B322+B326+B330</f>
        <v>6587471</v>
      </c>
      <c r="C314" s="284">
        <f>C318+C322+C326+C330</f>
        <v>-30600</v>
      </c>
      <c r="D314" s="284">
        <f t="shared" ref="D314:D315" si="15">D318+D322+D326+D330</f>
        <v>8635</v>
      </c>
      <c r="E314" s="284">
        <f t="shared" si="13"/>
        <v>6565506</v>
      </c>
    </row>
    <row r="315" spans="1:6">
      <c r="A315" s="81" t="s">
        <v>173</v>
      </c>
      <c r="B315" s="289">
        <f>B319+B323+B327+B331</f>
        <v>2005047</v>
      </c>
      <c r="C315" s="289">
        <f>C319+C323+C327+C331</f>
        <v>-51952</v>
      </c>
      <c r="D315" s="289">
        <f t="shared" si="15"/>
        <v>-2687</v>
      </c>
      <c r="E315" s="289">
        <f t="shared" si="13"/>
        <v>1950408</v>
      </c>
    </row>
    <row r="316" spans="1:6">
      <c r="A316" s="81"/>
      <c r="B316" s="289"/>
      <c r="C316" s="289"/>
      <c r="D316" s="289"/>
      <c r="E316" s="289">
        <f t="shared" si="13"/>
        <v>0</v>
      </c>
    </row>
    <row r="317" spans="1:6">
      <c r="A317" s="305" t="s">
        <v>179</v>
      </c>
      <c r="B317" s="289"/>
      <c r="C317" s="289"/>
      <c r="D317" s="289"/>
      <c r="E317" s="289">
        <f t="shared" si="13"/>
        <v>0</v>
      </c>
    </row>
    <row r="318" spans="1:6">
      <c r="A318" s="94" t="s">
        <v>461</v>
      </c>
      <c r="B318" s="288">
        <f>812133+37115</f>
        <v>849248</v>
      </c>
      <c r="C318" s="288">
        <v>-107830</v>
      </c>
      <c r="D318" s="600">
        <v>-20429</v>
      </c>
      <c r="E318" s="288">
        <f t="shared" si="13"/>
        <v>720989</v>
      </c>
    </row>
    <row r="319" spans="1:6">
      <c r="A319" s="84" t="s">
        <v>173</v>
      </c>
      <c r="B319" s="289">
        <f>313168+27739</f>
        <v>340907</v>
      </c>
      <c r="C319" s="289">
        <v>-53752</v>
      </c>
      <c r="D319" s="289"/>
      <c r="E319" s="289">
        <f t="shared" si="13"/>
        <v>287155</v>
      </c>
    </row>
    <row r="320" spans="1:6">
      <c r="A320" s="81"/>
      <c r="B320" s="289"/>
      <c r="C320" s="306"/>
      <c r="D320" s="306"/>
      <c r="E320" s="289">
        <f t="shared" si="13"/>
        <v>0</v>
      </c>
    </row>
    <row r="321" spans="1:5">
      <c r="A321" s="305" t="s">
        <v>179</v>
      </c>
      <c r="B321" s="289"/>
      <c r="C321" s="306"/>
      <c r="D321" s="306"/>
      <c r="E321" s="289">
        <f t="shared" si="13"/>
        <v>0</v>
      </c>
    </row>
    <row r="322" spans="1:5" ht="35.25">
      <c r="A322" s="94" t="s">
        <v>526</v>
      </c>
      <c r="B322" s="288">
        <f>3975585+48660+241+56000+73000</f>
        <v>4153486</v>
      </c>
      <c r="C322" s="288">
        <v>77230</v>
      </c>
      <c r="D322" s="600">
        <v>66080</v>
      </c>
      <c r="E322" s="288">
        <f t="shared" si="13"/>
        <v>4296796</v>
      </c>
    </row>
    <row r="323" spans="1:5">
      <c r="A323" s="84" t="s">
        <v>173</v>
      </c>
      <c r="B323" s="289">
        <f>1121380-4000+180+54559</f>
        <v>1172119</v>
      </c>
      <c r="C323" s="289">
        <v>1800</v>
      </c>
      <c r="D323" s="602">
        <v>14298</v>
      </c>
      <c r="E323" s="289">
        <f t="shared" si="13"/>
        <v>1188217</v>
      </c>
    </row>
    <row r="324" spans="1:5">
      <c r="A324" s="84"/>
      <c r="B324" s="289"/>
      <c r="C324" s="289"/>
      <c r="D324" s="289"/>
      <c r="E324" s="289">
        <f t="shared" si="13"/>
        <v>0</v>
      </c>
    </row>
    <row r="325" spans="1:5">
      <c r="A325" s="305" t="s">
        <v>179</v>
      </c>
      <c r="B325" s="289"/>
      <c r="C325" s="280"/>
      <c r="D325" s="280"/>
      <c r="E325" s="289">
        <f t="shared" si="13"/>
        <v>0</v>
      </c>
    </row>
    <row r="326" spans="1:5">
      <c r="A326" s="94" t="s">
        <v>462</v>
      </c>
      <c r="B326" s="288">
        <v>1055682</v>
      </c>
      <c r="C326" s="280"/>
      <c r="D326" s="600">
        <v>-1200</v>
      </c>
      <c r="E326" s="288">
        <f t="shared" si="13"/>
        <v>1054482</v>
      </c>
    </row>
    <row r="327" spans="1:5">
      <c r="A327" s="84" t="s">
        <v>173</v>
      </c>
      <c r="B327" s="289">
        <v>340761</v>
      </c>
      <c r="C327" s="280"/>
      <c r="D327" s="280"/>
      <c r="E327" s="289">
        <f t="shared" ref="E327:E390" si="16">SUM(B327:D327)</f>
        <v>340761</v>
      </c>
    </row>
    <row r="328" spans="1:5">
      <c r="A328" s="84"/>
      <c r="B328" s="289"/>
      <c r="C328" s="280"/>
      <c r="D328" s="280"/>
      <c r="E328" s="289">
        <f t="shared" si="16"/>
        <v>0</v>
      </c>
    </row>
    <row r="329" spans="1:5">
      <c r="A329" s="305" t="s">
        <v>179</v>
      </c>
      <c r="B329" s="289"/>
      <c r="C329" s="280"/>
      <c r="D329" s="280"/>
      <c r="E329" s="289">
        <f t="shared" si="16"/>
        <v>0</v>
      </c>
    </row>
    <row r="330" spans="1:5" ht="24">
      <c r="A330" s="94" t="s">
        <v>463</v>
      </c>
      <c r="B330" s="288">
        <f>526384+2350+321</f>
        <v>529055</v>
      </c>
      <c r="C330" s="280"/>
      <c r="D330" s="600">
        <v>-35816</v>
      </c>
      <c r="E330" s="288">
        <f t="shared" si="16"/>
        <v>493239</v>
      </c>
    </row>
    <row r="331" spans="1:5">
      <c r="A331" s="84" t="s">
        <v>173</v>
      </c>
      <c r="B331" s="289">
        <f>151020+240</f>
        <v>151260</v>
      </c>
      <c r="C331" s="280"/>
      <c r="D331" s="602">
        <v>-16985</v>
      </c>
      <c r="E331" s="289">
        <f t="shared" si="16"/>
        <v>134275</v>
      </c>
    </row>
    <row r="332" spans="1:5">
      <c r="A332" s="84"/>
      <c r="B332" s="288"/>
      <c r="C332" s="280"/>
      <c r="D332" s="280"/>
      <c r="E332" s="288">
        <f t="shared" si="16"/>
        <v>0</v>
      </c>
    </row>
    <row r="333" spans="1:5">
      <c r="A333" s="298" t="s">
        <v>194</v>
      </c>
      <c r="B333" s="284">
        <f>B336</f>
        <v>4295000</v>
      </c>
      <c r="C333" s="284">
        <f>C336</f>
        <v>100000</v>
      </c>
      <c r="D333" s="603">
        <f>D336</f>
        <v>68475</v>
      </c>
      <c r="E333" s="284">
        <f t="shared" si="16"/>
        <v>4463475</v>
      </c>
    </row>
    <row r="334" spans="1:5">
      <c r="A334" s="298"/>
      <c r="B334" s="284"/>
      <c r="C334" s="284"/>
      <c r="D334" s="603">
        <v>0</v>
      </c>
      <c r="E334" s="284">
        <f t="shared" si="16"/>
        <v>0</v>
      </c>
    </row>
    <row r="335" spans="1:5">
      <c r="A335" s="305" t="s">
        <v>179</v>
      </c>
      <c r="B335" s="284"/>
      <c r="C335" s="284"/>
      <c r="D335" s="603">
        <v>0</v>
      </c>
      <c r="E335" s="284">
        <f t="shared" si="16"/>
        <v>0</v>
      </c>
    </row>
    <row r="336" spans="1:5">
      <c r="A336" s="94" t="s">
        <v>557</v>
      </c>
      <c r="B336" s="288">
        <f>4145000+150000</f>
        <v>4295000</v>
      </c>
      <c r="C336" s="288">
        <v>100000</v>
      </c>
      <c r="D336" s="600">
        <v>68475</v>
      </c>
      <c r="E336" s="288">
        <f t="shared" si="16"/>
        <v>4463475</v>
      </c>
    </row>
    <row r="337" spans="1:5">
      <c r="A337" s="311"/>
      <c r="B337" s="280"/>
      <c r="C337" s="284">
        <f>C341</f>
        <v>0</v>
      </c>
      <c r="D337" s="613">
        <v>0</v>
      </c>
      <c r="E337" s="280">
        <f t="shared" si="16"/>
        <v>0</v>
      </c>
    </row>
    <row r="338" spans="1:5">
      <c r="A338" s="298" t="s">
        <v>518</v>
      </c>
      <c r="B338" s="284">
        <f>B342</f>
        <v>1416355</v>
      </c>
      <c r="C338" s="289">
        <f>C342</f>
        <v>-33145</v>
      </c>
      <c r="D338" s="603">
        <f>D342</f>
        <v>-203801</v>
      </c>
      <c r="E338" s="284">
        <f t="shared" si="16"/>
        <v>1179409</v>
      </c>
    </row>
    <row r="339" spans="1:5">
      <c r="A339" s="81" t="s">
        <v>173</v>
      </c>
      <c r="B339" s="289">
        <f>B343</f>
        <v>268171</v>
      </c>
      <c r="C339" s="289">
        <f t="shared" ref="C339" si="17">C343</f>
        <v>9972</v>
      </c>
      <c r="D339" s="602">
        <f>D343</f>
        <v>-62722</v>
      </c>
      <c r="E339" s="289">
        <f t="shared" si="16"/>
        <v>215421</v>
      </c>
    </row>
    <row r="340" spans="1:5">
      <c r="A340" s="312"/>
      <c r="B340" s="280"/>
      <c r="C340" s="306"/>
      <c r="D340" s="613">
        <v>0</v>
      </c>
      <c r="E340" s="280">
        <f t="shared" si="16"/>
        <v>0</v>
      </c>
    </row>
    <row r="341" spans="1:5">
      <c r="A341" s="305" t="s">
        <v>179</v>
      </c>
      <c r="B341" s="280"/>
      <c r="C341" s="306"/>
      <c r="D341" s="613">
        <v>0</v>
      </c>
      <c r="E341" s="280">
        <f t="shared" si="16"/>
        <v>0</v>
      </c>
    </row>
    <row r="342" spans="1:5">
      <c r="A342" s="94" t="s">
        <v>519</v>
      </c>
      <c r="B342" s="288">
        <v>1416355</v>
      </c>
      <c r="C342" s="306">
        <v>-33145</v>
      </c>
      <c r="D342" s="600">
        <v>-203801</v>
      </c>
      <c r="E342" s="288">
        <f t="shared" si="16"/>
        <v>1179409</v>
      </c>
    </row>
    <row r="343" spans="1:5">
      <c r="A343" s="84" t="s">
        <v>173</v>
      </c>
      <c r="B343" s="289">
        <v>268171</v>
      </c>
      <c r="C343" s="289">
        <v>9972</v>
      </c>
      <c r="D343" s="602">
        <v>-62722</v>
      </c>
      <c r="E343" s="289">
        <f t="shared" si="16"/>
        <v>215421</v>
      </c>
    </row>
    <row r="344" spans="1:5">
      <c r="A344" s="94"/>
      <c r="B344" s="288"/>
      <c r="C344" s="280"/>
      <c r="D344" s="600">
        <v>0</v>
      </c>
      <c r="E344" s="288">
        <f t="shared" si="16"/>
        <v>0</v>
      </c>
    </row>
    <row r="345" spans="1:5" ht="15">
      <c r="A345" s="300" t="s">
        <v>195</v>
      </c>
      <c r="B345" s="154">
        <f>B346</f>
        <v>170017</v>
      </c>
      <c r="C345" s="280"/>
      <c r="D345" s="614">
        <f>D346</f>
        <v>-790</v>
      </c>
      <c r="E345" s="154">
        <f t="shared" si="16"/>
        <v>169227</v>
      </c>
    </row>
    <row r="346" spans="1:5">
      <c r="A346" s="298" t="s">
        <v>196</v>
      </c>
      <c r="B346" s="284">
        <f>B350</f>
        <v>170017</v>
      </c>
      <c r="C346" s="280"/>
      <c r="D346" s="603">
        <f>D350</f>
        <v>-790</v>
      </c>
      <c r="E346" s="284">
        <f t="shared" si="16"/>
        <v>169227</v>
      </c>
    </row>
    <row r="347" spans="1:5">
      <c r="A347" s="81" t="s">
        <v>173</v>
      </c>
      <c r="B347" s="289">
        <f>B351</f>
        <v>95041</v>
      </c>
      <c r="C347" s="280"/>
      <c r="D347" s="602">
        <f>D351</f>
        <v>-591</v>
      </c>
      <c r="E347" s="289">
        <f t="shared" si="16"/>
        <v>94450</v>
      </c>
    </row>
    <row r="348" spans="1:5">
      <c r="A348" s="311"/>
      <c r="B348" s="289"/>
      <c r="C348" s="280"/>
      <c r="D348" s="602">
        <v>0</v>
      </c>
      <c r="E348" s="289">
        <f t="shared" si="16"/>
        <v>0</v>
      </c>
    </row>
    <row r="349" spans="1:5">
      <c r="A349" s="305" t="s">
        <v>179</v>
      </c>
      <c r="B349" s="289"/>
      <c r="C349" s="280"/>
      <c r="D349" s="602">
        <v>0</v>
      </c>
      <c r="E349" s="289">
        <f t="shared" si="16"/>
        <v>0</v>
      </c>
    </row>
    <row r="350" spans="1:5">
      <c r="A350" s="94" t="s">
        <v>536</v>
      </c>
      <c r="B350" s="288">
        <v>170017</v>
      </c>
      <c r="C350" s="280"/>
      <c r="D350" s="600">
        <v>-790</v>
      </c>
      <c r="E350" s="288">
        <f t="shared" si="16"/>
        <v>169227</v>
      </c>
    </row>
    <row r="351" spans="1:5">
      <c r="A351" s="84" t="s">
        <v>173</v>
      </c>
      <c r="B351" s="289">
        <v>95041</v>
      </c>
      <c r="C351" s="280"/>
      <c r="D351" s="602">
        <v>-591</v>
      </c>
      <c r="E351" s="289">
        <f t="shared" si="16"/>
        <v>94450</v>
      </c>
    </row>
    <row r="352" spans="1:5">
      <c r="A352" s="94"/>
      <c r="B352" s="288"/>
      <c r="C352" s="280"/>
      <c r="D352" s="280"/>
      <c r="E352" s="288">
        <f t="shared" si="16"/>
        <v>0</v>
      </c>
    </row>
    <row r="353" spans="1:5">
      <c r="A353" s="313" t="s">
        <v>172</v>
      </c>
      <c r="B353" s="284">
        <f>B355+B358+B361+B378+B395</f>
        <v>2650923</v>
      </c>
      <c r="C353" s="284">
        <f>C355+C358+C361+C378+C397</f>
        <v>66760</v>
      </c>
      <c r="D353" s="284">
        <f>D355+D358+D361+D378+D397</f>
        <v>-301</v>
      </c>
      <c r="E353" s="284">
        <f t="shared" si="16"/>
        <v>2717382</v>
      </c>
    </row>
    <row r="354" spans="1:5">
      <c r="A354" s="293"/>
      <c r="B354" s="288"/>
      <c r="C354" s="280"/>
      <c r="D354" s="280"/>
      <c r="E354" s="288">
        <f t="shared" si="16"/>
        <v>0</v>
      </c>
    </row>
    <row r="355" spans="1:5">
      <c r="A355" s="291" t="s">
        <v>197</v>
      </c>
      <c r="B355" s="288">
        <f>612279+12138+696</f>
        <v>625113</v>
      </c>
      <c r="C355" s="280"/>
      <c r="D355" s="600">
        <v>-2226</v>
      </c>
      <c r="E355" s="288">
        <f t="shared" si="16"/>
        <v>622887</v>
      </c>
    </row>
    <row r="356" spans="1:5">
      <c r="A356" s="78" t="s">
        <v>173</v>
      </c>
      <c r="B356" s="289">
        <f>421193+9072+520</f>
        <v>430785</v>
      </c>
      <c r="C356" s="280"/>
      <c r="D356" s="602">
        <v>-20</v>
      </c>
      <c r="E356" s="289">
        <f t="shared" si="16"/>
        <v>430765</v>
      </c>
    </row>
    <row r="357" spans="1:5">
      <c r="A357" s="78"/>
      <c r="B357" s="289"/>
      <c r="C357" s="280"/>
      <c r="D357" s="280"/>
      <c r="E357" s="289">
        <f t="shared" si="16"/>
        <v>0</v>
      </c>
    </row>
    <row r="358" spans="1:5">
      <c r="A358" s="291" t="s">
        <v>198</v>
      </c>
      <c r="B358" s="288">
        <f>B359</f>
        <v>100000</v>
      </c>
      <c r="C358" s="280"/>
      <c r="D358" s="280"/>
      <c r="E358" s="288">
        <f t="shared" si="16"/>
        <v>100000</v>
      </c>
    </row>
    <row r="359" spans="1:5">
      <c r="A359" s="314" t="s">
        <v>486</v>
      </c>
      <c r="B359" s="315">
        <v>100000</v>
      </c>
      <c r="C359" s="280"/>
      <c r="D359" s="280"/>
      <c r="E359" s="315">
        <f t="shared" si="16"/>
        <v>100000</v>
      </c>
    </row>
    <row r="360" spans="1:5">
      <c r="A360" s="293"/>
      <c r="B360" s="288"/>
      <c r="C360" s="280"/>
      <c r="D360" s="280"/>
      <c r="E360" s="288">
        <f t="shared" si="16"/>
        <v>0</v>
      </c>
    </row>
    <row r="361" spans="1:5">
      <c r="A361" s="291" t="s">
        <v>199</v>
      </c>
      <c r="B361" s="288">
        <f>SUM(B362:B377)</f>
        <v>1206400</v>
      </c>
      <c r="C361" s="288">
        <f t="shared" ref="C361:D361" si="18">SUM(C362:C377)</f>
        <v>10000</v>
      </c>
      <c r="D361" s="288">
        <f t="shared" si="18"/>
        <v>23000</v>
      </c>
      <c r="E361" s="288">
        <f t="shared" si="16"/>
        <v>1239400</v>
      </c>
    </row>
    <row r="362" spans="1:5">
      <c r="A362" s="314" t="s">
        <v>487</v>
      </c>
      <c r="B362" s="315">
        <f>64000+64000</f>
        <v>128000</v>
      </c>
      <c r="C362" s="315">
        <v>10000</v>
      </c>
      <c r="D362" s="315"/>
      <c r="E362" s="315">
        <f t="shared" si="16"/>
        <v>138000</v>
      </c>
    </row>
    <row r="363" spans="1:5">
      <c r="A363" s="316" t="s">
        <v>541</v>
      </c>
      <c r="B363" s="315">
        <v>90000</v>
      </c>
      <c r="C363" s="280"/>
      <c r="D363" s="280"/>
      <c r="E363" s="315">
        <f t="shared" si="16"/>
        <v>90000</v>
      </c>
    </row>
    <row r="364" spans="1:5">
      <c r="A364" s="316" t="s">
        <v>372</v>
      </c>
      <c r="B364" s="315">
        <f>45000+10000</f>
        <v>55000</v>
      </c>
      <c r="C364" s="280"/>
      <c r="D364" s="280"/>
      <c r="E364" s="315">
        <f t="shared" si="16"/>
        <v>55000</v>
      </c>
    </row>
    <row r="365" spans="1:5">
      <c r="A365" s="317" t="s">
        <v>636</v>
      </c>
      <c r="B365" s="315">
        <v>3000</v>
      </c>
      <c r="C365" s="280"/>
      <c r="D365" s="280"/>
      <c r="E365" s="315">
        <f t="shared" si="16"/>
        <v>3000</v>
      </c>
    </row>
    <row r="366" spans="1:5">
      <c r="A366" s="316" t="s">
        <v>561</v>
      </c>
      <c r="B366" s="315">
        <v>130000</v>
      </c>
      <c r="C366" s="280"/>
      <c r="D366" s="280"/>
      <c r="E366" s="315">
        <f t="shared" si="16"/>
        <v>130000</v>
      </c>
    </row>
    <row r="367" spans="1:5">
      <c r="A367" s="316" t="s">
        <v>58</v>
      </c>
      <c r="B367" s="315">
        <v>55000</v>
      </c>
      <c r="C367" s="280"/>
      <c r="D367" s="280"/>
      <c r="E367" s="315">
        <f t="shared" si="16"/>
        <v>55000</v>
      </c>
    </row>
    <row r="368" spans="1:5">
      <c r="A368" s="316" t="s">
        <v>419</v>
      </c>
      <c r="B368" s="315">
        <v>60000</v>
      </c>
      <c r="C368" s="280"/>
      <c r="D368" s="615">
        <v>23000</v>
      </c>
      <c r="E368" s="315">
        <f t="shared" si="16"/>
        <v>83000</v>
      </c>
    </row>
    <row r="369" spans="1:5">
      <c r="A369" s="316" t="s">
        <v>562</v>
      </c>
      <c r="B369" s="315">
        <v>250000</v>
      </c>
      <c r="C369" s="280"/>
      <c r="D369" s="280"/>
      <c r="E369" s="315">
        <f t="shared" si="16"/>
        <v>250000</v>
      </c>
    </row>
    <row r="370" spans="1:5">
      <c r="A370" s="316" t="s">
        <v>571</v>
      </c>
      <c r="B370" s="315">
        <v>15000</v>
      </c>
      <c r="C370" s="280"/>
      <c r="D370" s="280"/>
      <c r="E370" s="315">
        <f t="shared" si="16"/>
        <v>15000</v>
      </c>
    </row>
    <row r="371" spans="1:5">
      <c r="A371" s="316" t="s">
        <v>637</v>
      </c>
      <c r="B371" s="315">
        <v>20000</v>
      </c>
      <c r="C371" s="280"/>
      <c r="D371" s="280"/>
      <c r="E371" s="315">
        <f t="shared" si="16"/>
        <v>20000</v>
      </c>
    </row>
    <row r="372" spans="1:5">
      <c r="A372" s="316" t="s">
        <v>638</v>
      </c>
      <c r="B372" s="315">
        <v>210000</v>
      </c>
      <c r="C372" s="280"/>
      <c r="D372" s="280"/>
      <c r="E372" s="315">
        <f t="shared" si="16"/>
        <v>210000</v>
      </c>
    </row>
    <row r="373" spans="1:5">
      <c r="A373" s="316" t="s">
        <v>670</v>
      </c>
      <c r="B373" s="315">
        <v>70000</v>
      </c>
      <c r="C373" s="280"/>
      <c r="D373" s="280"/>
      <c r="E373" s="315">
        <f t="shared" si="16"/>
        <v>70000</v>
      </c>
    </row>
    <row r="374" spans="1:5">
      <c r="A374" s="316" t="s">
        <v>639</v>
      </c>
      <c r="B374" s="315">
        <v>40000</v>
      </c>
      <c r="C374" s="280"/>
      <c r="D374" s="280"/>
      <c r="E374" s="315">
        <f t="shared" si="16"/>
        <v>40000</v>
      </c>
    </row>
    <row r="375" spans="1:5">
      <c r="A375" s="316" t="s">
        <v>671</v>
      </c>
      <c r="B375" s="315">
        <v>2372</v>
      </c>
      <c r="C375" s="280"/>
      <c r="D375" s="280"/>
      <c r="E375" s="315">
        <f t="shared" si="16"/>
        <v>2372</v>
      </c>
    </row>
    <row r="376" spans="1:5">
      <c r="A376" s="316" t="s">
        <v>563</v>
      </c>
      <c r="B376" s="315">
        <f>80400-2372</f>
        <v>78028</v>
      </c>
      <c r="C376" s="280"/>
      <c r="D376" s="280"/>
      <c r="E376" s="315">
        <f t="shared" si="16"/>
        <v>78028</v>
      </c>
    </row>
    <row r="377" spans="1:5">
      <c r="A377" s="293"/>
      <c r="B377" s="288"/>
      <c r="C377" s="280"/>
      <c r="D377" s="280"/>
      <c r="E377" s="288">
        <f t="shared" si="16"/>
        <v>0</v>
      </c>
    </row>
    <row r="378" spans="1:5">
      <c r="A378" s="291" t="s">
        <v>200</v>
      </c>
      <c r="B378" s="288">
        <f>B380+B381+B383+B386+B385</f>
        <v>655410</v>
      </c>
      <c r="C378" s="288">
        <f>C380+C381+C383+C386+C385+C391</f>
        <v>27000</v>
      </c>
      <c r="D378" s="288">
        <f>D380+D381+D383+D386+D385+D391</f>
        <v>-21075</v>
      </c>
      <c r="E378" s="288">
        <f t="shared" si="16"/>
        <v>661335</v>
      </c>
    </row>
    <row r="379" spans="1:5">
      <c r="A379" s="78" t="s">
        <v>173</v>
      </c>
      <c r="B379" s="289">
        <f>B382+B384</f>
        <v>4763</v>
      </c>
      <c r="C379" s="280"/>
      <c r="D379" s="280"/>
      <c r="E379" s="289">
        <f t="shared" si="16"/>
        <v>4763</v>
      </c>
    </row>
    <row r="380" spans="1:5">
      <c r="A380" s="88" t="s">
        <v>404</v>
      </c>
      <c r="B380" s="289">
        <v>31100</v>
      </c>
      <c r="C380" s="280"/>
      <c r="D380" s="280">
        <v>-1485</v>
      </c>
      <c r="E380" s="289">
        <f t="shared" si="16"/>
        <v>29615</v>
      </c>
    </row>
    <row r="381" spans="1:5">
      <c r="A381" s="88" t="s">
        <v>402</v>
      </c>
      <c r="B381" s="289">
        <v>83920</v>
      </c>
      <c r="C381" s="280"/>
      <c r="D381" s="280">
        <v>1485</v>
      </c>
      <c r="E381" s="289">
        <f t="shared" si="16"/>
        <v>85405</v>
      </c>
    </row>
    <row r="382" spans="1:5">
      <c r="A382" s="131" t="s">
        <v>173</v>
      </c>
      <c r="B382" s="289">
        <v>3500</v>
      </c>
      <c r="C382" s="280"/>
      <c r="D382" s="280"/>
      <c r="E382" s="289">
        <f t="shared" si="16"/>
        <v>3500</v>
      </c>
    </row>
    <row r="383" spans="1:5">
      <c r="A383" s="88" t="s">
        <v>666</v>
      </c>
      <c r="B383" s="289">
        <v>1690</v>
      </c>
      <c r="C383" s="280"/>
      <c r="D383" s="280"/>
      <c r="E383" s="289">
        <f t="shared" si="16"/>
        <v>1690</v>
      </c>
    </row>
    <row r="384" spans="1:5">
      <c r="A384" s="131" t="s">
        <v>173</v>
      </c>
      <c r="B384" s="289">
        <v>1263</v>
      </c>
      <c r="C384" s="280"/>
      <c r="D384" s="280"/>
      <c r="E384" s="289">
        <f t="shared" si="16"/>
        <v>1263</v>
      </c>
    </row>
    <row r="385" spans="1:5">
      <c r="A385" s="88" t="s">
        <v>520</v>
      </c>
      <c r="B385" s="289">
        <v>51000</v>
      </c>
      <c r="C385" s="289">
        <v>-2000</v>
      </c>
      <c r="D385" s="289">
        <v>-1250</v>
      </c>
      <c r="E385" s="289">
        <f t="shared" si="16"/>
        <v>47750</v>
      </c>
    </row>
    <row r="386" spans="1:5">
      <c r="A386" s="81" t="s">
        <v>447</v>
      </c>
      <c r="B386" s="289">
        <f>SUM(B387:B390)</f>
        <v>487700</v>
      </c>
      <c r="C386" s="289">
        <f t="shared" ref="C386" si="19">SUM(C387:C390)</f>
        <v>20000</v>
      </c>
      <c r="D386" s="289">
        <v>-19825</v>
      </c>
      <c r="E386" s="289">
        <f t="shared" si="16"/>
        <v>487875</v>
      </c>
    </row>
    <row r="387" spans="1:5">
      <c r="A387" s="120" t="s">
        <v>498</v>
      </c>
      <c r="B387" s="315">
        <f>273700+95000</f>
        <v>368700</v>
      </c>
      <c r="C387" s="315">
        <v>18000</v>
      </c>
      <c r="D387" s="315">
        <v>-19825</v>
      </c>
      <c r="E387" s="315">
        <f t="shared" si="16"/>
        <v>366875</v>
      </c>
    </row>
    <row r="388" spans="1:5">
      <c r="A388" s="139" t="s">
        <v>448</v>
      </c>
      <c r="B388" s="315">
        <v>5000</v>
      </c>
      <c r="C388" s="315"/>
      <c r="D388" s="315"/>
      <c r="E388" s="315">
        <f t="shared" si="16"/>
        <v>5000</v>
      </c>
    </row>
    <row r="389" spans="1:5">
      <c r="A389" s="139" t="s">
        <v>436</v>
      </c>
      <c r="B389" s="315">
        <v>100000</v>
      </c>
      <c r="C389" s="315"/>
      <c r="D389" s="315"/>
      <c r="E389" s="315">
        <f t="shared" si="16"/>
        <v>100000</v>
      </c>
    </row>
    <row r="390" spans="1:5">
      <c r="A390" s="139" t="s">
        <v>403</v>
      </c>
      <c r="B390" s="315">
        <v>14000</v>
      </c>
      <c r="C390" s="315">
        <v>2000</v>
      </c>
      <c r="D390" s="315"/>
      <c r="E390" s="315">
        <f t="shared" si="16"/>
        <v>16000</v>
      </c>
    </row>
    <row r="391" spans="1:5">
      <c r="A391" s="110" t="s">
        <v>747</v>
      </c>
      <c r="B391" s="315"/>
      <c r="C391" s="315">
        <v>9000</v>
      </c>
      <c r="D391" s="315"/>
      <c r="E391" s="315">
        <f t="shared" ref="E391:E454" si="20">SUM(B391:D391)</f>
        <v>9000</v>
      </c>
    </row>
    <row r="392" spans="1:5">
      <c r="A392" s="110"/>
      <c r="B392" s="315"/>
      <c r="C392" s="315"/>
      <c r="D392" s="315"/>
      <c r="E392" s="315">
        <f t="shared" si="20"/>
        <v>0</v>
      </c>
    </row>
    <row r="393" spans="1:5">
      <c r="A393" s="291" t="s">
        <v>715</v>
      </c>
      <c r="B393" s="315"/>
      <c r="C393" s="280"/>
      <c r="D393" s="280"/>
      <c r="E393" s="315">
        <f t="shared" si="20"/>
        <v>0</v>
      </c>
    </row>
    <row r="394" spans="1:5">
      <c r="A394" s="88"/>
      <c r="B394" s="288"/>
      <c r="C394" s="280"/>
      <c r="D394" s="280"/>
      <c r="E394" s="288">
        <f t="shared" si="20"/>
        <v>0</v>
      </c>
    </row>
    <row r="395" spans="1:5">
      <c r="A395" s="291" t="s">
        <v>59</v>
      </c>
      <c r="B395" s="288">
        <v>64000</v>
      </c>
      <c r="C395" s="280"/>
      <c r="D395" s="280"/>
      <c r="E395" s="288">
        <f t="shared" si="20"/>
        <v>64000</v>
      </c>
    </row>
    <row r="396" spans="1:5">
      <c r="A396" s="291"/>
      <c r="B396" s="288"/>
      <c r="C396" s="280"/>
      <c r="D396" s="280"/>
      <c r="E396" s="288">
        <f t="shared" si="20"/>
        <v>0</v>
      </c>
    </row>
    <row r="397" spans="1:5" ht="38.25">
      <c r="A397" s="86" t="s">
        <v>748</v>
      </c>
      <c r="B397" s="288"/>
      <c r="C397" s="276">
        <v>29760</v>
      </c>
      <c r="D397" s="276"/>
      <c r="E397" s="288">
        <f t="shared" si="20"/>
        <v>29760</v>
      </c>
    </row>
    <row r="398" spans="1:5">
      <c r="A398" s="297"/>
      <c r="B398" s="288"/>
      <c r="C398" s="87"/>
      <c r="D398" s="87"/>
      <c r="E398" s="288">
        <f t="shared" si="20"/>
        <v>0</v>
      </c>
    </row>
    <row r="399" spans="1:5">
      <c r="A399" s="88" t="s">
        <v>184</v>
      </c>
      <c r="B399" s="288"/>
      <c r="C399" s="87">
        <v>25296</v>
      </c>
      <c r="D399" s="87"/>
      <c r="E399" s="289">
        <f t="shared" si="20"/>
        <v>25296</v>
      </c>
    </row>
    <row r="400" spans="1:5">
      <c r="A400" s="291"/>
      <c r="B400" s="288"/>
      <c r="C400" s="280"/>
      <c r="D400" s="280"/>
      <c r="E400" s="288">
        <f t="shared" si="20"/>
        <v>0</v>
      </c>
    </row>
    <row r="401" spans="1:6">
      <c r="A401" s="291"/>
      <c r="B401" s="288"/>
      <c r="C401" s="280"/>
      <c r="D401" s="280"/>
      <c r="E401" s="288">
        <f t="shared" si="20"/>
        <v>0</v>
      </c>
    </row>
    <row r="402" spans="1:6" ht="15.75">
      <c r="A402" s="95" t="s">
        <v>163</v>
      </c>
      <c r="B402" s="96"/>
      <c r="C402" s="276"/>
      <c r="D402" s="276"/>
      <c r="E402" s="96">
        <f t="shared" si="20"/>
        <v>0</v>
      </c>
    </row>
    <row r="403" spans="1:6">
      <c r="A403" s="97"/>
      <c r="B403" s="288"/>
      <c r="C403" s="87"/>
      <c r="D403" s="87"/>
      <c r="E403" s="288">
        <f t="shared" si="20"/>
        <v>0</v>
      </c>
    </row>
    <row r="404" spans="1:6">
      <c r="A404" s="90" t="s">
        <v>168</v>
      </c>
      <c r="B404" s="98">
        <f>B411+B534</f>
        <v>30442649</v>
      </c>
      <c r="C404" s="98">
        <f>C411+C534</f>
        <v>558078</v>
      </c>
      <c r="D404" s="98">
        <f>D411+D534</f>
        <v>158102</v>
      </c>
      <c r="E404" s="98">
        <f t="shared" si="20"/>
        <v>31158829</v>
      </c>
    </row>
    <row r="405" spans="1:6">
      <c r="A405" s="67" t="s">
        <v>185</v>
      </c>
      <c r="B405" s="307">
        <v>1399000</v>
      </c>
      <c r="E405" s="307">
        <f t="shared" si="20"/>
        <v>1399000</v>
      </c>
    </row>
    <row r="406" spans="1:6">
      <c r="A406" s="91" t="s">
        <v>169</v>
      </c>
      <c r="B406" s="98">
        <f>B407+B408+B409</f>
        <v>30442649</v>
      </c>
      <c r="C406" s="98">
        <f>C407+C408+C409</f>
        <v>558078</v>
      </c>
      <c r="D406" s="98">
        <f>D407+D408+D409</f>
        <v>158102</v>
      </c>
      <c r="E406" s="98">
        <f t="shared" si="20"/>
        <v>31158829</v>
      </c>
    </row>
    <row r="407" spans="1:6">
      <c r="A407" s="92" t="s">
        <v>170</v>
      </c>
      <c r="B407" s="99">
        <v>2585381</v>
      </c>
      <c r="C407" s="318">
        <v>-11261</v>
      </c>
      <c r="D407" s="318">
        <v>33123</v>
      </c>
      <c r="E407" s="99">
        <f t="shared" si="20"/>
        <v>2607243</v>
      </c>
    </row>
    <row r="408" spans="1:6" ht="14.25" customHeight="1">
      <c r="A408" s="93" t="s">
        <v>152</v>
      </c>
      <c r="B408" s="99">
        <v>12569</v>
      </c>
      <c r="C408" s="318">
        <v>26010</v>
      </c>
      <c r="D408" s="318"/>
      <c r="E408" s="99">
        <f t="shared" si="20"/>
        <v>38579</v>
      </c>
    </row>
    <row r="409" spans="1:6" s="286" customFormat="1">
      <c r="A409" s="93" t="s">
        <v>171</v>
      </c>
      <c r="B409" s="99">
        <f>B404-B407-B408</f>
        <v>27844699</v>
      </c>
      <c r="C409" s="318">
        <f>C404-C407-C408</f>
        <v>543329</v>
      </c>
      <c r="D409" s="318">
        <f>D404-D407-D408</f>
        <v>124979</v>
      </c>
      <c r="E409" s="99">
        <f t="shared" si="20"/>
        <v>28513007</v>
      </c>
      <c r="F409" s="250"/>
    </row>
    <row r="410" spans="1:6">
      <c r="A410" s="293"/>
      <c r="B410" s="85"/>
      <c r="E410" s="85">
        <f t="shared" si="20"/>
        <v>0</v>
      </c>
    </row>
    <row r="411" spans="1:6" ht="15">
      <c r="A411" s="300" t="s">
        <v>201</v>
      </c>
      <c r="B411" s="319">
        <f>B412+B446+B464+B502</f>
        <v>13595226</v>
      </c>
      <c r="C411" s="319">
        <f>C412+C446+C464+C502</f>
        <v>302187</v>
      </c>
      <c r="D411" s="319">
        <f>D412+D446+D464+D502</f>
        <v>187623</v>
      </c>
      <c r="E411" s="319">
        <f t="shared" si="20"/>
        <v>14085036</v>
      </c>
    </row>
    <row r="412" spans="1:6">
      <c r="A412" s="298" t="s">
        <v>202</v>
      </c>
      <c r="B412" s="284">
        <f>B415+B418+B421+B425+B429+B432+B435+B439+B443</f>
        <v>4455703</v>
      </c>
      <c r="C412" s="284">
        <f>C415+C418+C421+C425+C429+C432+C435+C439+C443</f>
        <v>59896</v>
      </c>
      <c r="D412" s="284">
        <f>D415+D418+D421+D425+D429+D432+D435+D439+D443</f>
        <v>128213</v>
      </c>
      <c r="E412" s="284">
        <f t="shared" si="20"/>
        <v>4643812</v>
      </c>
    </row>
    <row r="413" spans="1:6">
      <c r="A413" s="81" t="s">
        <v>173</v>
      </c>
      <c r="B413" s="100">
        <f>+B422+B426+B436+B444</f>
        <v>1683148</v>
      </c>
      <c r="C413" s="100">
        <f>+C422+C426+C436+C444</f>
        <v>44765</v>
      </c>
      <c r="D413" s="100">
        <f>+D422+D426+D436+D444</f>
        <v>19719</v>
      </c>
      <c r="E413" s="100">
        <f t="shared" si="20"/>
        <v>1747632</v>
      </c>
    </row>
    <row r="414" spans="1:6">
      <c r="A414" s="305" t="s">
        <v>179</v>
      </c>
      <c r="B414" s="288"/>
      <c r="E414" s="288">
        <f t="shared" si="20"/>
        <v>0</v>
      </c>
    </row>
    <row r="415" spans="1:6">
      <c r="A415" s="94" t="s">
        <v>60</v>
      </c>
      <c r="B415" s="288">
        <v>1148509</v>
      </c>
      <c r="C415" s="280"/>
      <c r="D415" s="280">
        <v>95000</v>
      </c>
      <c r="E415" s="288">
        <f t="shared" si="20"/>
        <v>1243509</v>
      </c>
    </row>
    <row r="416" spans="1:6">
      <c r="A416" s="102"/>
      <c r="B416" s="288"/>
      <c r="C416" s="280"/>
      <c r="D416" s="280"/>
      <c r="E416" s="288">
        <f t="shared" si="20"/>
        <v>0</v>
      </c>
    </row>
    <row r="417" spans="1:5">
      <c r="A417" s="305" t="s">
        <v>179</v>
      </c>
      <c r="B417" s="288"/>
      <c r="C417" s="280"/>
      <c r="D417" s="280"/>
      <c r="E417" s="288">
        <f t="shared" si="20"/>
        <v>0</v>
      </c>
    </row>
    <row r="418" spans="1:5">
      <c r="A418" s="94" t="s">
        <v>61</v>
      </c>
      <c r="B418" s="288">
        <v>49020</v>
      </c>
      <c r="C418" s="280"/>
      <c r="D418" s="280">
        <v>3000</v>
      </c>
      <c r="E418" s="288">
        <f t="shared" si="20"/>
        <v>52020</v>
      </c>
    </row>
    <row r="419" spans="1:5">
      <c r="A419" s="102"/>
      <c r="B419" s="288"/>
      <c r="C419" s="280"/>
      <c r="D419" s="280"/>
      <c r="E419" s="288">
        <f t="shared" si="20"/>
        <v>0</v>
      </c>
    </row>
    <row r="420" spans="1:5">
      <c r="A420" s="305" t="s">
        <v>179</v>
      </c>
      <c r="B420" s="288"/>
      <c r="C420" s="280"/>
      <c r="D420" s="280"/>
      <c r="E420" s="288">
        <f t="shared" si="20"/>
        <v>0</v>
      </c>
    </row>
    <row r="421" spans="1:5">
      <c r="A421" s="94" t="s">
        <v>62</v>
      </c>
      <c r="B421" s="71">
        <v>197962</v>
      </c>
      <c r="C421" s="280"/>
      <c r="D421" s="280">
        <v>18000</v>
      </c>
      <c r="E421" s="71">
        <f t="shared" si="20"/>
        <v>215962</v>
      </c>
    </row>
    <row r="422" spans="1:5">
      <c r="A422" s="84" t="s">
        <v>173</v>
      </c>
      <c r="B422" s="289">
        <v>16250</v>
      </c>
      <c r="C422" s="301"/>
      <c r="D422" s="301">
        <v>-5318</v>
      </c>
      <c r="E422" s="289">
        <f t="shared" si="20"/>
        <v>10932</v>
      </c>
    </row>
    <row r="423" spans="1:5">
      <c r="A423" s="235"/>
      <c r="B423" s="288"/>
      <c r="C423" s="280"/>
      <c r="D423" s="280"/>
      <c r="E423" s="288">
        <f t="shared" si="20"/>
        <v>0</v>
      </c>
    </row>
    <row r="424" spans="1:5">
      <c r="A424" s="305" t="s">
        <v>179</v>
      </c>
      <c r="B424" s="288"/>
      <c r="C424" s="280"/>
      <c r="D424" s="280"/>
      <c r="E424" s="288">
        <f t="shared" si="20"/>
        <v>0</v>
      </c>
    </row>
    <row r="425" spans="1:5" ht="24">
      <c r="A425" s="94" t="s">
        <v>597</v>
      </c>
      <c r="B425" s="288">
        <v>484786</v>
      </c>
      <c r="C425" s="280"/>
      <c r="D425" s="280">
        <v>0</v>
      </c>
      <c r="E425" s="288">
        <f t="shared" si="20"/>
        <v>484786</v>
      </c>
    </row>
    <row r="426" spans="1:5">
      <c r="A426" s="84" t="s">
        <v>173</v>
      </c>
      <c r="B426" s="289">
        <v>333725</v>
      </c>
      <c r="C426" s="301"/>
      <c r="D426" s="301">
        <v>25037</v>
      </c>
      <c r="E426" s="289">
        <f t="shared" si="20"/>
        <v>358762</v>
      </c>
    </row>
    <row r="427" spans="1:5">
      <c r="A427" s="102"/>
      <c r="B427" s="288"/>
      <c r="C427" s="280"/>
      <c r="D427" s="280"/>
      <c r="E427" s="288">
        <f t="shared" si="20"/>
        <v>0</v>
      </c>
    </row>
    <row r="428" spans="1:5">
      <c r="A428" s="305" t="s">
        <v>179</v>
      </c>
      <c r="B428" s="288"/>
      <c r="C428" s="280"/>
      <c r="D428" s="280"/>
      <c r="E428" s="288">
        <f t="shared" si="20"/>
        <v>0</v>
      </c>
    </row>
    <row r="429" spans="1:5">
      <c r="A429" s="94" t="s">
        <v>63</v>
      </c>
      <c r="B429" s="71">
        <v>167865</v>
      </c>
      <c r="C429" s="280"/>
      <c r="D429" s="280">
        <v>8000</v>
      </c>
      <c r="E429" s="71">
        <f t="shared" si="20"/>
        <v>175865</v>
      </c>
    </row>
    <row r="430" spans="1:5">
      <c r="A430" s="231"/>
      <c r="B430" s="288"/>
      <c r="C430" s="280"/>
      <c r="D430" s="280"/>
      <c r="E430" s="288">
        <f t="shared" si="20"/>
        <v>0</v>
      </c>
    </row>
    <row r="431" spans="1:5">
      <c r="A431" s="305" t="s">
        <v>179</v>
      </c>
      <c r="B431" s="288"/>
      <c r="C431" s="280"/>
      <c r="D431" s="280"/>
      <c r="E431" s="288">
        <f t="shared" si="20"/>
        <v>0</v>
      </c>
    </row>
    <row r="432" spans="1:5">
      <c r="A432" s="94" t="s">
        <v>64</v>
      </c>
      <c r="B432" s="71">
        <v>12000</v>
      </c>
      <c r="C432" s="280"/>
      <c r="D432" s="280"/>
      <c r="E432" s="71">
        <f t="shared" si="20"/>
        <v>12000</v>
      </c>
    </row>
    <row r="433" spans="1:5">
      <c r="A433" s="293"/>
      <c r="B433" s="288"/>
      <c r="C433" s="280"/>
      <c r="D433" s="280"/>
      <c r="E433" s="288">
        <f t="shared" si="20"/>
        <v>0</v>
      </c>
    </row>
    <row r="434" spans="1:5">
      <c r="A434" s="305" t="s">
        <v>179</v>
      </c>
      <c r="B434" s="288"/>
      <c r="C434" s="280"/>
      <c r="D434" s="280"/>
      <c r="E434" s="288">
        <f t="shared" si="20"/>
        <v>0</v>
      </c>
    </row>
    <row r="435" spans="1:5" ht="24">
      <c r="A435" s="94" t="s">
        <v>464</v>
      </c>
      <c r="B435" s="71">
        <v>1966897</v>
      </c>
      <c r="C435" s="280">
        <v>43437</v>
      </c>
      <c r="D435" s="280"/>
      <c r="E435" s="71">
        <f t="shared" si="20"/>
        <v>2010334</v>
      </c>
    </row>
    <row r="436" spans="1:5">
      <c r="A436" s="84" t="s">
        <v>173</v>
      </c>
      <c r="B436" s="289">
        <v>1098967</v>
      </c>
      <c r="C436" s="301">
        <v>32464</v>
      </c>
      <c r="D436" s="301"/>
      <c r="E436" s="289">
        <f t="shared" si="20"/>
        <v>1131431</v>
      </c>
    </row>
    <row r="437" spans="1:5">
      <c r="A437" s="102"/>
      <c r="B437" s="288"/>
      <c r="C437" s="280"/>
      <c r="D437" s="280"/>
      <c r="E437" s="288">
        <f t="shared" si="20"/>
        <v>0</v>
      </c>
    </row>
    <row r="438" spans="1:5">
      <c r="A438" s="305" t="s">
        <v>179</v>
      </c>
      <c r="B438" s="288"/>
      <c r="C438" s="280"/>
      <c r="D438" s="280"/>
      <c r="E438" s="288">
        <f t="shared" si="20"/>
        <v>0</v>
      </c>
    </row>
    <row r="439" spans="1:5">
      <c r="A439" s="94" t="s">
        <v>203</v>
      </c>
      <c r="B439" s="288">
        <v>30015</v>
      </c>
      <c r="C439" s="280"/>
      <c r="D439" s="280"/>
      <c r="E439" s="288">
        <f t="shared" si="20"/>
        <v>30015</v>
      </c>
    </row>
    <row r="440" spans="1:5">
      <c r="A440" s="84" t="s">
        <v>444</v>
      </c>
      <c r="B440" s="289">
        <v>9240</v>
      </c>
      <c r="C440" s="301"/>
      <c r="D440" s="301"/>
      <c r="E440" s="289">
        <f t="shared" si="20"/>
        <v>9240</v>
      </c>
    </row>
    <row r="441" spans="1:5">
      <c r="A441" s="102"/>
      <c r="B441" s="288"/>
      <c r="C441" s="280"/>
      <c r="D441" s="280"/>
      <c r="E441" s="288">
        <f t="shared" si="20"/>
        <v>0</v>
      </c>
    </row>
    <row r="442" spans="1:5">
      <c r="A442" s="305" t="s">
        <v>179</v>
      </c>
      <c r="B442" s="71"/>
      <c r="C442" s="280"/>
      <c r="D442" s="280"/>
      <c r="E442" s="71">
        <f t="shared" si="20"/>
        <v>0</v>
      </c>
    </row>
    <row r="443" spans="1:5" ht="24">
      <c r="A443" s="94" t="s">
        <v>465</v>
      </c>
      <c r="B443" s="71">
        <v>398649</v>
      </c>
      <c r="C443" s="280">
        <v>16459</v>
      </c>
      <c r="D443" s="280">
        <v>4213</v>
      </c>
      <c r="E443" s="71">
        <f t="shared" si="20"/>
        <v>419321</v>
      </c>
    </row>
    <row r="444" spans="1:5">
      <c r="A444" s="84" t="s">
        <v>173</v>
      </c>
      <c r="B444" s="289">
        <v>234206</v>
      </c>
      <c r="C444" s="301">
        <v>12301</v>
      </c>
      <c r="D444" s="301"/>
      <c r="E444" s="289">
        <f t="shared" si="20"/>
        <v>246507</v>
      </c>
    </row>
    <row r="445" spans="1:5">
      <c r="A445" s="320"/>
      <c r="B445" s="289"/>
      <c r="C445" s="280"/>
      <c r="D445" s="280"/>
      <c r="E445" s="289">
        <f t="shared" si="20"/>
        <v>0</v>
      </c>
    </row>
    <row r="446" spans="1:5">
      <c r="A446" s="298" t="s">
        <v>204</v>
      </c>
      <c r="B446" s="284">
        <f>B449+B453+B456+B459+B462</f>
        <v>4524793</v>
      </c>
      <c r="C446" s="284">
        <f>C449+C453+C456+C459+C462</f>
        <v>47263</v>
      </c>
      <c r="D446" s="284">
        <f>D449+D453+D456+D459+D462</f>
        <v>47100</v>
      </c>
      <c r="E446" s="284">
        <f t="shared" si="20"/>
        <v>4619156</v>
      </c>
    </row>
    <row r="447" spans="1:5">
      <c r="A447" s="81" t="s">
        <v>173</v>
      </c>
      <c r="B447" s="100">
        <f>B450</f>
        <v>1255152</v>
      </c>
      <c r="C447" s="100">
        <f t="shared" ref="C447:D447" si="21">C450</f>
        <v>34950</v>
      </c>
      <c r="D447" s="100">
        <f t="shared" si="21"/>
        <v>13600</v>
      </c>
      <c r="E447" s="100">
        <f t="shared" si="20"/>
        <v>1303702</v>
      </c>
    </row>
    <row r="448" spans="1:5">
      <c r="A448" s="305" t="s">
        <v>179</v>
      </c>
      <c r="C448" s="280"/>
      <c r="D448" s="280"/>
      <c r="E448" s="279">
        <f t="shared" si="20"/>
        <v>0</v>
      </c>
    </row>
    <row r="449" spans="1:5" ht="24">
      <c r="A449" s="94" t="s">
        <v>466</v>
      </c>
      <c r="B449" s="288">
        <f>4335306-12000</f>
        <v>4323306</v>
      </c>
      <c r="C449" s="280">
        <v>47263</v>
      </c>
      <c r="D449" s="280">
        <v>48200</v>
      </c>
      <c r="E449" s="288">
        <f t="shared" si="20"/>
        <v>4418769</v>
      </c>
    </row>
    <row r="450" spans="1:5">
      <c r="A450" s="84" t="s">
        <v>173</v>
      </c>
      <c r="B450" s="289">
        <v>1255152</v>
      </c>
      <c r="C450" s="301">
        <v>34950</v>
      </c>
      <c r="D450" s="301">
        <v>13600</v>
      </c>
      <c r="E450" s="289">
        <f t="shared" si="20"/>
        <v>1303702</v>
      </c>
    </row>
    <row r="451" spans="1:5">
      <c r="A451" s="293"/>
      <c r="B451" s="288"/>
      <c r="C451" s="280"/>
      <c r="D451" s="280"/>
      <c r="E451" s="288">
        <f t="shared" si="20"/>
        <v>0</v>
      </c>
    </row>
    <row r="452" spans="1:5">
      <c r="A452" s="305" t="s">
        <v>179</v>
      </c>
      <c r="B452" s="288"/>
      <c r="C452" s="280"/>
      <c r="D452" s="280"/>
      <c r="E452" s="288">
        <f t="shared" si="20"/>
        <v>0</v>
      </c>
    </row>
    <row r="453" spans="1:5">
      <c r="A453" s="94" t="s">
        <v>65</v>
      </c>
      <c r="B453" s="288">
        <v>26912</v>
      </c>
      <c r="C453" s="280"/>
      <c r="D453" s="280"/>
      <c r="E453" s="288">
        <f t="shared" si="20"/>
        <v>26912</v>
      </c>
    </row>
    <row r="454" spans="1:5">
      <c r="A454" s="101"/>
      <c r="B454" s="288"/>
      <c r="C454" s="280"/>
      <c r="D454" s="280"/>
      <c r="E454" s="288">
        <f t="shared" si="20"/>
        <v>0</v>
      </c>
    </row>
    <row r="455" spans="1:5">
      <c r="A455" s="305" t="s">
        <v>179</v>
      </c>
      <c r="B455" s="288"/>
      <c r="C455" s="280"/>
      <c r="D455" s="280"/>
      <c r="E455" s="288">
        <f t="shared" ref="E455:E518" si="22">SUM(B455:D455)</f>
        <v>0</v>
      </c>
    </row>
    <row r="456" spans="1:5">
      <c r="A456" s="94" t="s">
        <v>76</v>
      </c>
      <c r="B456" s="288">
        <v>131700</v>
      </c>
      <c r="C456" s="280"/>
      <c r="D456" s="280">
        <v>-6100</v>
      </c>
      <c r="E456" s="288">
        <f t="shared" si="22"/>
        <v>125600</v>
      </c>
    </row>
    <row r="457" spans="1:5">
      <c r="A457" s="101"/>
      <c r="B457" s="288"/>
      <c r="C457" s="280"/>
      <c r="D457" s="280"/>
      <c r="E457" s="288">
        <f t="shared" si="22"/>
        <v>0</v>
      </c>
    </row>
    <row r="458" spans="1:5">
      <c r="A458" s="305" t="s">
        <v>179</v>
      </c>
      <c r="B458" s="288"/>
      <c r="C458" s="280"/>
      <c r="D458" s="280"/>
      <c r="E458" s="288">
        <f t="shared" si="22"/>
        <v>0</v>
      </c>
    </row>
    <row r="459" spans="1:5">
      <c r="A459" s="94" t="s">
        <v>405</v>
      </c>
      <c r="B459" s="288">
        <v>16220</v>
      </c>
      <c r="C459" s="280"/>
      <c r="D459" s="280"/>
      <c r="E459" s="288">
        <f t="shared" si="22"/>
        <v>16220</v>
      </c>
    </row>
    <row r="460" spans="1:5">
      <c r="A460" s="235"/>
      <c r="B460" s="288"/>
      <c r="C460" s="280"/>
      <c r="D460" s="280"/>
      <c r="E460" s="288">
        <f t="shared" si="22"/>
        <v>0</v>
      </c>
    </row>
    <row r="461" spans="1:5">
      <c r="A461" s="305" t="s">
        <v>179</v>
      </c>
      <c r="B461" s="288"/>
      <c r="C461" s="280"/>
      <c r="D461" s="280"/>
      <c r="E461" s="288">
        <f t="shared" si="22"/>
        <v>0</v>
      </c>
    </row>
    <row r="462" spans="1:5">
      <c r="A462" s="94" t="s">
        <v>598</v>
      </c>
      <c r="B462" s="288">
        <v>26655</v>
      </c>
      <c r="C462" s="280"/>
      <c r="D462" s="280">
        <v>5000</v>
      </c>
      <c r="E462" s="288">
        <f t="shared" si="22"/>
        <v>31655</v>
      </c>
    </row>
    <row r="463" spans="1:5">
      <c r="A463" s="101"/>
      <c r="B463" s="288"/>
      <c r="C463" s="280"/>
      <c r="D463" s="280"/>
      <c r="E463" s="288">
        <f t="shared" si="22"/>
        <v>0</v>
      </c>
    </row>
    <row r="464" spans="1:5">
      <c r="A464" s="298" t="s">
        <v>205</v>
      </c>
      <c r="B464" s="284">
        <f>B467+B470+B474+B478+B483+B487+B491+B495+B499</f>
        <v>3346328</v>
      </c>
      <c r="C464" s="284">
        <f>C467+C470+C474+C478+C483+C487+C491+C495+C499</f>
        <v>144090</v>
      </c>
      <c r="D464" s="284">
        <f>D467+D470+D474+D478+D483+D487+D491+D495+D499</f>
        <v>25710</v>
      </c>
      <c r="E464" s="284">
        <f t="shared" si="22"/>
        <v>3516128</v>
      </c>
    </row>
    <row r="465" spans="1:5">
      <c r="A465" s="81" t="s">
        <v>173</v>
      </c>
      <c r="B465" s="289">
        <f>B471+B475+B479+B484+B488+B492+B496+B500</f>
        <v>1880542</v>
      </c>
      <c r="C465" s="289">
        <f>C471+C475+C479+C484+C488+C492+C496+C500</f>
        <v>58150</v>
      </c>
      <c r="D465" s="289">
        <f>D471+D475+D479+D484+D488+D492+D496+D500</f>
        <v>4993</v>
      </c>
      <c r="E465" s="289">
        <f t="shared" si="22"/>
        <v>1943685</v>
      </c>
    </row>
    <row r="466" spans="1:5">
      <c r="A466" s="305" t="s">
        <v>179</v>
      </c>
      <c r="B466" s="289"/>
      <c r="C466" s="280"/>
      <c r="D466" s="280"/>
      <c r="E466" s="289">
        <f t="shared" si="22"/>
        <v>0</v>
      </c>
    </row>
    <row r="467" spans="1:5">
      <c r="A467" s="94" t="s">
        <v>66</v>
      </c>
      <c r="B467" s="288">
        <v>39686</v>
      </c>
      <c r="C467" s="280"/>
      <c r="D467" s="280"/>
      <c r="E467" s="288">
        <f t="shared" si="22"/>
        <v>39686</v>
      </c>
    </row>
    <row r="468" spans="1:5">
      <c r="A468" s="102"/>
      <c r="B468" s="288"/>
      <c r="C468" s="280"/>
      <c r="D468" s="280"/>
      <c r="E468" s="288">
        <f t="shared" si="22"/>
        <v>0</v>
      </c>
    </row>
    <row r="469" spans="1:5">
      <c r="A469" s="305" t="s">
        <v>179</v>
      </c>
      <c r="B469" s="288"/>
      <c r="C469" s="280"/>
      <c r="D469" s="280"/>
      <c r="E469" s="288">
        <f t="shared" si="22"/>
        <v>0</v>
      </c>
    </row>
    <row r="470" spans="1:5">
      <c r="A470" s="94" t="s">
        <v>467</v>
      </c>
      <c r="B470" s="288">
        <f>381169+18468</f>
        <v>399637</v>
      </c>
      <c r="C470" s="280">
        <v>9840</v>
      </c>
      <c r="D470" s="280">
        <v>0</v>
      </c>
      <c r="E470" s="288">
        <f t="shared" si="22"/>
        <v>409477</v>
      </c>
    </row>
    <row r="471" spans="1:5">
      <c r="A471" s="84" t="s">
        <v>173</v>
      </c>
      <c r="B471" s="289">
        <f>244507+1310+13440</f>
        <v>259257</v>
      </c>
      <c r="C471" s="301">
        <v>7354</v>
      </c>
      <c r="D471" s="301">
        <v>1602</v>
      </c>
      <c r="E471" s="289">
        <f t="shared" si="22"/>
        <v>268213</v>
      </c>
    </row>
    <row r="472" spans="1:5">
      <c r="A472" s="232"/>
      <c r="B472" s="288"/>
      <c r="C472" s="280"/>
      <c r="D472" s="280"/>
      <c r="E472" s="288">
        <f t="shared" si="22"/>
        <v>0</v>
      </c>
    </row>
    <row r="473" spans="1:5">
      <c r="A473" s="305" t="s">
        <v>179</v>
      </c>
      <c r="B473" s="71"/>
      <c r="C473" s="280"/>
      <c r="D473" s="280"/>
      <c r="E473" s="71">
        <f t="shared" si="22"/>
        <v>0</v>
      </c>
    </row>
    <row r="474" spans="1:5">
      <c r="A474" s="94" t="s">
        <v>605</v>
      </c>
      <c r="B474" s="288">
        <v>44181</v>
      </c>
      <c r="C474" s="280">
        <v>741</v>
      </c>
      <c r="D474" s="280"/>
      <c r="E474" s="288">
        <f t="shared" si="22"/>
        <v>44922</v>
      </c>
    </row>
    <row r="475" spans="1:5">
      <c r="A475" s="84" t="s">
        <v>173</v>
      </c>
      <c r="B475" s="289">
        <v>21558</v>
      </c>
      <c r="C475" s="301">
        <v>554</v>
      </c>
      <c r="D475" s="301"/>
      <c r="E475" s="289">
        <f t="shared" si="22"/>
        <v>22112</v>
      </c>
    </row>
    <row r="476" spans="1:5">
      <c r="A476" s="313"/>
      <c r="B476" s="288"/>
      <c r="C476" s="280"/>
      <c r="D476" s="280"/>
      <c r="E476" s="288">
        <f t="shared" si="22"/>
        <v>0</v>
      </c>
    </row>
    <row r="477" spans="1:5">
      <c r="A477" s="305" t="s">
        <v>179</v>
      </c>
      <c r="B477" s="288"/>
      <c r="C477" s="280"/>
      <c r="D477" s="280"/>
      <c r="E477" s="288">
        <f t="shared" si="22"/>
        <v>0</v>
      </c>
    </row>
    <row r="478" spans="1:5">
      <c r="A478" s="94" t="s">
        <v>67</v>
      </c>
      <c r="B478" s="288">
        <v>164845</v>
      </c>
      <c r="C478" s="280">
        <v>37953</v>
      </c>
      <c r="D478" s="280">
        <v>0</v>
      </c>
      <c r="E478" s="288">
        <f t="shared" si="22"/>
        <v>202798</v>
      </c>
    </row>
    <row r="479" spans="1:5">
      <c r="A479" s="84" t="s">
        <v>173</v>
      </c>
      <c r="B479" s="289">
        <v>41845</v>
      </c>
      <c r="C479" s="301">
        <v>4077</v>
      </c>
      <c r="D479" s="301">
        <v>-680</v>
      </c>
      <c r="E479" s="289">
        <f t="shared" si="22"/>
        <v>45242</v>
      </c>
    </row>
    <row r="480" spans="1:5">
      <c r="A480" s="104" t="s">
        <v>36</v>
      </c>
      <c r="B480" s="289">
        <v>47934</v>
      </c>
      <c r="C480" s="301"/>
      <c r="D480" s="301"/>
      <c r="E480" s="289">
        <f t="shared" si="22"/>
        <v>47934</v>
      </c>
    </row>
    <row r="481" spans="1:5">
      <c r="A481" s="102"/>
      <c r="B481" s="288"/>
      <c r="C481" s="280"/>
      <c r="D481" s="280"/>
      <c r="E481" s="288">
        <f t="shared" si="22"/>
        <v>0</v>
      </c>
    </row>
    <row r="482" spans="1:5">
      <c r="A482" s="305" t="s">
        <v>179</v>
      </c>
      <c r="B482" s="71"/>
      <c r="C482" s="280"/>
      <c r="D482" s="280"/>
      <c r="E482" s="71">
        <f t="shared" si="22"/>
        <v>0</v>
      </c>
    </row>
    <row r="483" spans="1:5" ht="35.25">
      <c r="A483" s="94" t="s">
        <v>607</v>
      </c>
      <c r="B483" s="288">
        <v>834098</v>
      </c>
      <c r="C483" s="280">
        <v>15248</v>
      </c>
      <c r="D483" s="280">
        <v>7410</v>
      </c>
      <c r="E483" s="288">
        <f t="shared" si="22"/>
        <v>856756</v>
      </c>
    </row>
    <row r="484" spans="1:5">
      <c r="A484" s="84" t="s">
        <v>173</v>
      </c>
      <c r="B484" s="289">
        <v>470292</v>
      </c>
      <c r="C484" s="301">
        <v>11396</v>
      </c>
      <c r="D484" s="301">
        <v>4930</v>
      </c>
      <c r="E484" s="289">
        <f t="shared" si="22"/>
        <v>486618</v>
      </c>
    </row>
    <row r="485" spans="1:5">
      <c r="A485" s="103"/>
      <c r="B485" s="288"/>
      <c r="C485" s="280"/>
      <c r="D485" s="280"/>
      <c r="E485" s="288">
        <f t="shared" si="22"/>
        <v>0</v>
      </c>
    </row>
    <row r="486" spans="1:5">
      <c r="A486" s="305" t="s">
        <v>179</v>
      </c>
      <c r="B486" s="288"/>
      <c r="C486" s="280"/>
      <c r="D486" s="280"/>
      <c r="E486" s="288">
        <f t="shared" si="22"/>
        <v>0</v>
      </c>
    </row>
    <row r="487" spans="1:5">
      <c r="A487" s="94" t="s">
        <v>68</v>
      </c>
      <c r="B487" s="71">
        <v>16045</v>
      </c>
      <c r="C487" s="280"/>
      <c r="D487" s="280">
        <v>1300</v>
      </c>
      <c r="E487" s="71">
        <f t="shared" si="22"/>
        <v>17345</v>
      </c>
    </row>
    <row r="488" spans="1:5">
      <c r="A488" s="84" t="s">
        <v>173</v>
      </c>
      <c r="B488" s="289">
        <v>959</v>
      </c>
      <c r="C488" s="301"/>
      <c r="D488" s="301">
        <v>-859</v>
      </c>
      <c r="E488" s="289">
        <f t="shared" si="22"/>
        <v>100</v>
      </c>
    </row>
    <row r="489" spans="1:5">
      <c r="A489" s="293"/>
      <c r="B489" s="288"/>
      <c r="C489" s="280"/>
      <c r="D489" s="280"/>
      <c r="E489" s="288">
        <f t="shared" si="22"/>
        <v>0</v>
      </c>
    </row>
    <row r="490" spans="1:5">
      <c r="A490" s="305" t="s">
        <v>179</v>
      </c>
      <c r="B490" s="288"/>
      <c r="C490" s="280"/>
      <c r="D490" s="280"/>
      <c r="E490" s="288">
        <f t="shared" si="22"/>
        <v>0</v>
      </c>
    </row>
    <row r="491" spans="1:5">
      <c r="A491" s="94" t="s">
        <v>569</v>
      </c>
      <c r="B491" s="71">
        <v>840662</v>
      </c>
      <c r="C491" s="280">
        <v>55756</v>
      </c>
      <c r="D491" s="280"/>
      <c r="E491" s="71">
        <f t="shared" si="22"/>
        <v>896418</v>
      </c>
    </row>
    <row r="492" spans="1:5">
      <c r="A492" s="84" t="s">
        <v>173</v>
      </c>
      <c r="B492" s="289">
        <v>499628</v>
      </c>
      <c r="C492" s="301">
        <v>16419</v>
      </c>
      <c r="D492" s="301"/>
      <c r="E492" s="289">
        <f t="shared" si="22"/>
        <v>516047</v>
      </c>
    </row>
    <row r="493" spans="1:5">
      <c r="A493" s="293"/>
      <c r="B493" s="288"/>
      <c r="C493" s="280"/>
      <c r="D493" s="280"/>
      <c r="E493" s="288">
        <f t="shared" si="22"/>
        <v>0</v>
      </c>
    </row>
    <row r="494" spans="1:5">
      <c r="A494" s="305" t="s">
        <v>179</v>
      </c>
      <c r="B494" s="321"/>
      <c r="C494" s="280"/>
      <c r="D494" s="280"/>
      <c r="E494" s="321">
        <f t="shared" si="22"/>
        <v>0</v>
      </c>
    </row>
    <row r="495" spans="1:5">
      <c r="A495" s="220" t="s">
        <v>689</v>
      </c>
      <c r="B495" s="306">
        <v>932174</v>
      </c>
      <c r="C495" s="280">
        <v>24552</v>
      </c>
      <c r="D495" s="280"/>
      <c r="E495" s="306">
        <f t="shared" si="22"/>
        <v>956726</v>
      </c>
    </row>
    <row r="496" spans="1:5">
      <c r="A496" s="84" t="s">
        <v>173</v>
      </c>
      <c r="B496" s="289">
        <v>582395</v>
      </c>
      <c r="C496" s="301">
        <v>18350</v>
      </c>
      <c r="D496" s="301"/>
      <c r="E496" s="289">
        <f t="shared" si="22"/>
        <v>600745</v>
      </c>
    </row>
    <row r="497" spans="1:5">
      <c r="A497" s="103"/>
      <c r="B497" s="288"/>
      <c r="C497" s="280"/>
      <c r="D497" s="280"/>
      <c r="E497" s="288">
        <f t="shared" si="22"/>
        <v>0</v>
      </c>
    </row>
    <row r="498" spans="1:5">
      <c r="A498" s="305" t="s">
        <v>179</v>
      </c>
      <c r="B498" s="288"/>
      <c r="C498" s="280"/>
      <c r="D498" s="280"/>
      <c r="E498" s="288">
        <f t="shared" si="22"/>
        <v>0</v>
      </c>
    </row>
    <row r="499" spans="1:5">
      <c r="A499" s="94" t="s">
        <v>206</v>
      </c>
      <c r="B499" s="288">
        <v>75000</v>
      </c>
      <c r="C499" s="280"/>
      <c r="D499" s="280">
        <v>17000</v>
      </c>
      <c r="E499" s="288">
        <f t="shared" si="22"/>
        <v>92000</v>
      </c>
    </row>
    <row r="500" spans="1:5">
      <c r="A500" s="84" t="s">
        <v>173</v>
      </c>
      <c r="B500" s="289">
        <v>4608</v>
      </c>
      <c r="C500" s="301"/>
      <c r="D500" s="301"/>
      <c r="E500" s="289">
        <f t="shared" si="22"/>
        <v>4608</v>
      </c>
    </row>
    <row r="501" spans="1:5">
      <c r="A501" s="102"/>
      <c r="B501" s="288"/>
      <c r="C501" s="280"/>
      <c r="D501" s="280"/>
      <c r="E501" s="288">
        <f t="shared" si="22"/>
        <v>0</v>
      </c>
    </row>
    <row r="502" spans="1:5">
      <c r="A502" s="310" t="s">
        <v>207</v>
      </c>
      <c r="B502" s="284">
        <f>B505+B508+B511+B514+B517+B522+B525+B528</f>
        <v>1268402</v>
      </c>
      <c r="C502" s="284">
        <f>C505+C508+C511+C514+C517+C522+C525+C528+C532</f>
        <v>50938</v>
      </c>
      <c r="D502" s="284">
        <f>D505+D508+D511+D514+D517+D522+D525+D528+D532</f>
        <v>-13400</v>
      </c>
      <c r="E502" s="284">
        <f t="shared" si="22"/>
        <v>1305940</v>
      </c>
    </row>
    <row r="503" spans="1:5">
      <c r="A503" s="81" t="s">
        <v>173</v>
      </c>
      <c r="B503" s="289">
        <f>B529</f>
        <v>469795</v>
      </c>
      <c r="C503" s="289">
        <f t="shared" ref="C503:D503" si="23">C529</f>
        <v>11912</v>
      </c>
      <c r="D503" s="289">
        <f t="shared" si="23"/>
        <v>-10000</v>
      </c>
      <c r="E503" s="289">
        <f t="shared" si="22"/>
        <v>471707</v>
      </c>
    </row>
    <row r="504" spans="1:5">
      <c r="A504" s="305" t="s">
        <v>179</v>
      </c>
      <c r="B504" s="284"/>
      <c r="C504" s="280"/>
      <c r="D504" s="280"/>
      <c r="E504" s="284">
        <f t="shared" si="22"/>
        <v>0</v>
      </c>
    </row>
    <row r="505" spans="1:5" ht="25.5">
      <c r="A505" s="94" t="s">
        <v>69</v>
      </c>
      <c r="B505" s="288">
        <v>179470</v>
      </c>
      <c r="C505" s="280"/>
      <c r="D505" s="280"/>
      <c r="E505" s="288">
        <f t="shared" si="22"/>
        <v>179470</v>
      </c>
    </row>
    <row r="506" spans="1:5">
      <c r="A506" s="322"/>
      <c r="B506" s="288"/>
      <c r="C506" s="280"/>
      <c r="D506" s="280"/>
      <c r="E506" s="288">
        <f t="shared" si="22"/>
        <v>0</v>
      </c>
    </row>
    <row r="507" spans="1:5">
      <c r="A507" s="305" t="s">
        <v>179</v>
      </c>
      <c r="B507" s="288"/>
      <c r="C507" s="280"/>
      <c r="D507" s="280"/>
      <c r="E507" s="288">
        <f t="shared" si="22"/>
        <v>0</v>
      </c>
    </row>
    <row r="508" spans="1:5">
      <c r="A508" s="94" t="s">
        <v>70</v>
      </c>
      <c r="B508" s="288">
        <v>130815</v>
      </c>
      <c r="C508" s="280"/>
      <c r="D508" s="280"/>
      <c r="E508" s="288">
        <f t="shared" si="22"/>
        <v>130815</v>
      </c>
    </row>
    <row r="509" spans="1:5">
      <c r="A509" s="322"/>
      <c r="B509" s="288"/>
      <c r="C509" s="280"/>
      <c r="D509" s="280"/>
      <c r="E509" s="288">
        <f t="shared" si="22"/>
        <v>0</v>
      </c>
    </row>
    <row r="510" spans="1:5">
      <c r="A510" s="305" t="s">
        <v>179</v>
      </c>
      <c r="B510" s="288"/>
      <c r="C510" s="280"/>
      <c r="D510" s="280"/>
      <c r="E510" s="288">
        <f t="shared" si="22"/>
        <v>0</v>
      </c>
    </row>
    <row r="511" spans="1:5">
      <c r="A511" s="94" t="s">
        <v>71</v>
      </c>
      <c r="B511" s="288">
        <v>155050</v>
      </c>
      <c r="C511" s="280"/>
      <c r="D511" s="280"/>
      <c r="E511" s="288">
        <f t="shared" si="22"/>
        <v>155050</v>
      </c>
    </row>
    <row r="512" spans="1:5">
      <c r="A512" s="293"/>
      <c r="B512" s="288"/>
      <c r="C512" s="280"/>
      <c r="D512" s="280"/>
      <c r="E512" s="288">
        <f t="shared" si="22"/>
        <v>0</v>
      </c>
    </row>
    <row r="513" spans="1:5">
      <c r="A513" s="305" t="s">
        <v>179</v>
      </c>
      <c r="B513" s="288"/>
      <c r="C513" s="280"/>
      <c r="D513" s="280"/>
      <c r="E513" s="288">
        <f t="shared" si="22"/>
        <v>0</v>
      </c>
    </row>
    <row r="514" spans="1:5">
      <c r="A514" s="94" t="s">
        <v>72</v>
      </c>
      <c r="B514" s="71">
        <v>10131</v>
      </c>
      <c r="C514" s="280"/>
      <c r="D514" s="280"/>
      <c r="E514" s="71">
        <f t="shared" si="22"/>
        <v>10131</v>
      </c>
    </row>
    <row r="515" spans="1:5">
      <c r="A515" s="293"/>
      <c r="B515" s="288"/>
      <c r="C515" s="280"/>
      <c r="D515" s="280"/>
      <c r="E515" s="288">
        <f t="shared" si="22"/>
        <v>0</v>
      </c>
    </row>
    <row r="516" spans="1:5">
      <c r="A516" s="305" t="s">
        <v>179</v>
      </c>
      <c r="B516" s="288"/>
      <c r="C516" s="280"/>
      <c r="D516" s="280"/>
      <c r="E516" s="288">
        <f t="shared" si="22"/>
        <v>0</v>
      </c>
    </row>
    <row r="517" spans="1:5">
      <c r="A517" s="94" t="s">
        <v>73</v>
      </c>
      <c r="B517" s="71">
        <f>B518+B519</f>
        <v>60150</v>
      </c>
      <c r="C517" s="71">
        <f t="shared" ref="C517" si="24">C518+C519</f>
        <v>13000</v>
      </c>
      <c r="D517" s="71"/>
      <c r="E517" s="71">
        <f t="shared" si="22"/>
        <v>73150</v>
      </c>
    </row>
    <row r="518" spans="1:5">
      <c r="A518" s="323" t="s">
        <v>449</v>
      </c>
      <c r="B518" s="321">
        <v>48150</v>
      </c>
      <c r="C518" s="324"/>
      <c r="D518" s="324"/>
      <c r="E518" s="321">
        <f t="shared" si="22"/>
        <v>48150</v>
      </c>
    </row>
    <row r="519" spans="1:5">
      <c r="A519" s="325" t="s">
        <v>653</v>
      </c>
      <c r="B519" s="321">
        <v>12000</v>
      </c>
      <c r="C519" s="324">
        <v>13000</v>
      </c>
      <c r="D519" s="324"/>
      <c r="E519" s="321">
        <f t="shared" ref="E519:E582" si="25">SUM(B519:D519)</f>
        <v>25000</v>
      </c>
    </row>
    <row r="520" spans="1:5">
      <c r="A520" s="311"/>
      <c r="B520" s="321"/>
      <c r="C520" s="280"/>
      <c r="D520" s="280"/>
      <c r="E520" s="321">
        <f t="shared" si="25"/>
        <v>0</v>
      </c>
    </row>
    <row r="521" spans="1:5">
      <c r="A521" s="305" t="s">
        <v>179</v>
      </c>
      <c r="B521" s="288"/>
      <c r="C521" s="280"/>
      <c r="D521" s="280"/>
      <c r="E521" s="288">
        <f t="shared" si="25"/>
        <v>0</v>
      </c>
    </row>
    <row r="522" spans="1:5">
      <c r="A522" s="94" t="s">
        <v>208</v>
      </c>
      <c r="B522" s="288">
        <v>14175</v>
      </c>
      <c r="C522" s="280"/>
      <c r="D522" s="280"/>
      <c r="E522" s="288">
        <f t="shared" si="25"/>
        <v>14175</v>
      </c>
    </row>
    <row r="523" spans="1:5">
      <c r="A523" s="322"/>
      <c r="B523" s="288"/>
      <c r="C523" s="280"/>
      <c r="D523" s="280"/>
      <c r="E523" s="288">
        <f t="shared" si="25"/>
        <v>0</v>
      </c>
    </row>
    <row r="524" spans="1:5">
      <c r="A524" s="305" t="s">
        <v>179</v>
      </c>
      <c r="B524" s="288"/>
      <c r="C524" s="280"/>
      <c r="D524" s="280"/>
      <c r="E524" s="288">
        <f t="shared" si="25"/>
        <v>0</v>
      </c>
    </row>
    <row r="525" spans="1:5">
      <c r="A525" s="94" t="s">
        <v>74</v>
      </c>
      <c r="B525" s="288">
        <v>10000</v>
      </c>
      <c r="C525" s="280">
        <v>10000</v>
      </c>
      <c r="D525" s="280"/>
      <c r="E525" s="288">
        <f t="shared" si="25"/>
        <v>20000</v>
      </c>
    </row>
    <row r="526" spans="1:5">
      <c r="A526" s="105"/>
      <c r="B526" s="288"/>
      <c r="C526" s="280"/>
      <c r="D526" s="280"/>
      <c r="E526" s="288">
        <f t="shared" si="25"/>
        <v>0</v>
      </c>
    </row>
    <row r="527" spans="1:5">
      <c r="A527" s="305" t="s">
        <v>179</v>
      </c>
      <c r="B527" s="288"/>
      <c r="C527" s="280"/>
      <c r="D527" s="280"/>
      <c r="E527" s="288">
        <f t="shared" si="25"/>
        <v>0</v>
      </c>
    </row>
    <row r="528" spans="1:5">
      <c r="A528" s="94" t="s">
        <v>468</v>
      </c>
      <c r="B528" s="288">
        <f>643446+65000+165</f>
        <v>708611</v>
      </c>
      <c r="C528" s="280">
        <v>15938</v>
      </c>
      <c r="D528" s="280">
        <v>-13400</v>
      </c>
      <c r="E528" s="288">
        <f t="shared" si="25"/>
        <v>711149</v>
      </c>
    </row>
    <row r="529" spans="1:5">
      <c r="A529" s="84" t="s">
        <v>173</v>
      </c>
      <c r="B529" s="289">
        <f>436619+33053+123</f>
        <v>469795</v>
      </c>
      <c r="C529" s="301">
        <v>11912</v>
      </c>
      <c r="D529" s="301">
        <v>-10000</v>
      </c>
      <c r="E529" s="289">
        <f t="shared" si="25"/>
        <v>471707</v>
      </c>
    </row>
    <row r="530" spans="1:5">
      <c r="A530" s="84"/>
      <c r="B530" s="289"/>
      <c r="C530" s="301"/>
      <c r="D530" s="301"/>
      <c r="E530" s="289">
        <f t="shared" si="25"/>
        <v>0</v>
      </c>
    </row>
    <row r="531" spans="1:5">
      <c r="A531" s="305" t="s">
        <v>179</v>
      </c>
      <c r="B531" s="289"/>
      <c r="C531" s="301"/>
      <c r="D531" s="301"/>
      <c r="E531" s="289">
        <f t="shared" si="25"/>
        <v>0</v>
      </c>
    </row>
    <row r="532" spans="1:5">
      <c r="A532" s="94" t="s">
        <v>753</v>
      </c>
      <c r="B532" s="288"/>
      <c r="C532" s="280">
        <v>12000</v>
      </c>
      <c r="D532" s="280"/>
      <c r="E532" s="288">
        <f t="shared" si="25"/>
        <v>12000</v>
      </c>
    </row>
    <row r="533" spans="1:5">
      <c r="A533" s="105"/>
      <c r="B533" s="288"/>
      <c r="C533" s="280"/>
      <c r="D533" s="280"/>
      <c r="E533" s="288">
        <f t="shared" si="25"/>
        <v>0</v>
      </c>
    </row>
    <row r="534" spans="1:5">
      <c r="A534" s="313" t="s">
        <v>172</v>
      </c>
      <c r="B534" s="106">
        <f>B536+B581</f>
        <v>16847423</v>
      </c>
      <c r="C534" s="106">
        <f>C536+C581</f>
        <v>255891</v>
      </c>
      <c r="D534" s="106">
        <f>D536+D581</f>
        <v>-29521</v>
      </c>
      <c r="E534" s="106">
        <f t="shared" si="25"/>
        <v>17073793</v>
      </c>
    </row>
    <row r="535" spans="1:5">
      <c r="A535" s="107"/>
      <c r="B535" s="284"/>
      <c r="C535" s="280"/>
      <c r="D535" s="280"/>
      <c r="E535" s="284">
        <f t="shared" si="25"/>
        <v>0</v>
      </c>
    </row>
    <row r="536" spans="1:5">
      <c r="A536" s="326" t="s">
        <v>743</v>
      </c>
      <c r="B536" s="327">
        <f>B538+B541+B543+B546+B563+B572</f>
        <v>14849069</v>
      </c>
      <c r="C536" s="327">
        <f>C538+C541+C543+C546+C563+C572+C568+C577</f>
        <v>195647</v>
      </c>
      <c r="D536" s="327">
        <f>D538+D541+D543+D546+D563+D572+D568+D577+D570</f>
        <v>31579</v>
      </c>
      <c r="E536" s="327">
        <f t="shared" si="25"/>
        <v>15076295</v>
      </c>
    </row>
    <row r="537" spans="1:5">
      <c r="A537" s="107"/>
      <c r="B537" s="327"/>
      <c r="C537" s="280"/>
      <c r="D537" s="280"/>
      <c r="E537" s="327">
        <f t="shared" si="25"/>
        <v>0</v>
      </c>
    </row>
    <row r="538" spans="1:5">
      <c r="A538" s="82" t="s">
        <v>209</v>
      </c>
      <c r="B538" s="288">
        <f>980507+11496+3218</f>
        <v>995221</v>
      </c>
      <c r="C538" s="280"/>
      <c r="D538" s="280">
        <v>1079</v>
      </c>
      <c r="E538" s="288">
        <f t="shared" si="25"/>
        <v>996300</v>
      </c>
    </row>
    <row r="539" spans="1:5">
      <c r="A539" s="78" t="s">
        <v>173</v>
      </c>
      <c r="B539" s="289">
        <f>566455+8592+2405</f>
        <v>577452</v>
      </c>
      <c r="C539" s="301"/>
      <c r="D539" s="301">
        <v>807</v>
      </c>
      <c r="E539" s="289">
        <f t="shared" si="25"/>
        <v>578259</v>
      </c>
    </row>
    <row r="540" spans="1:5">
      <c r="A540" s="103"/>
      <c r="B540" s="289"/>
      <c r="C540" s="280"/>
      <c r="D540" s="280"/>
      <c r="E540" s="289">
        <f t="shared" si="25"/>
        <v>0</v>
      </c>
    </row>
    <row r="541" spans="1:5">
      <c r="A541" s="82" t="s">
        <v>75</v>
      </c>
      <c r="B541" s="288">
        <v>1291000</v>
      </c>
      <c r="C541" s="280">
        <v>134440</v>
      </c>
      <c r="D541" s="280"/>
      <c r="E541" s="288">
        <f t="shared" si="25"/>
        <v>1425440</v>
      </c>
    </row>
    <row r="542" spans="1:5">
      <c r="A542" s="293"/>
      <c r="B542" s="288"/>
      <c r="C542" s="280"/>
      <c r="D542" s="280"/>
      <c r="E542" s="288">
        <f t="shared" si="25"/>
        <v>0</v>
      </c>
    </row>
    <row r="543" spans="1:5">
      <c r="A543" s="82" t="s">
        <v>488</v>
      </c>
      <c r="B543" s="288">
        <f>1213218+4062</f>
        <v>1217280</v>
      </c>
      <c r="C543" s="280">
        <v>21107</v>
      </c>
      <c r="D543" s="280">
        <v>19400</v>
      </c>
      <c r="E543" s="288">
        <f t="shared" si="25"/>
        <v>1257787</v>
      </c>
    </row>
    <row r="544" spans="1:5">
      <c r="A544" s="78" t="s">
        <v>173</v>
      </c>
      <c r="B544" s="289">
        <f>617902+3036</f>
        <v>620938</v>
      </c>
      <c r="C544" s="301">
        <v>15775</v>
      </c>
      <c r="D544" s="301">
        <v>1000</v>
      </c>
      <c r="E544" s="289">
        <f t="shared" si="25"/>
        <v>637713</v>
      </c>
    </row>
    <row r="545" spans="1:5">
      <c r="A545" s="78"/>
      <c r="B545" s="289"/>
      <c r="C545" s="280"/>
      <c r="D545" s="280"/>
      <c r="E545" s="289">
        <f t="shared" si="25"/>
        <v>0</v>
      </c>
    </row>
    <row r="546" spans="1:5">
      <c r="A546" s="82" t="s">
        <v>407</v>
      </c>
      <c r="B546" s="280">
        <f>B548+B557</f>
        <v>11280279</v>
      </c>
      <c r="C546" s="280">
        <f t="shared" ref="C546" si="26">C548+C557</f>
        <v>-2500</v>
      </c>
      <c r="D546" s="280"/>
      <c r="E546" s="280">
        <f t="shared" si="25"/>
        <v>11277779</v>
      </c>
    </row>
    <row r="547" spans="1:5">
      <c r="A547" s="82"/>
      <c r="B547" s="288"/>
      <c r="C547" s="280"/>
      <c r="D547" s="280"/>
      <c r="E547" s="288">
        <f t="shared" si="25"/>
        <v>0</v>
      </c>
    </row>
    <row r="548" spans="1:5">
      <c r="A548" s="108" t="s">
        <v>210</v>
      </c>
      <c r="B548" s="288">
        <f>SUM(B549:B555)</f>
        <v>4254244</v>
      </c>
      <c r="C548" s="288">
        <f t="shared" ref="C548" si="27">SUM(C549:C555)</f>
        <v>-2500</v>
      </c>
      <c r="D548" s="288"/>
      <c r="E548" s="288">
        <f t="shared" si="25"/>
        <v>4251744</v>
      </c>
    </row>
    <row r="549" spans="1:5">
      <c r="A549" s="115" t="s">
        <v>680</v>
      </c>
      <c r="B549" s="315">
        <v>482754</v>
      </c>
      <c r="C549" s="324"/>
      <c r="D549" s="324"/>
      <c r="E549" s="315">
        <f t="shared" si="25"/>
        <v>482754</v>
      </c>
    </row>
    <row r="550" spans="1:5">
      <c r="A550" s="115" t="s">
        <v>681</v>
      </c>
      <c r="B550" s="315">
        <v>1472000</v>
      </c>
      <c r="C550" s="324"/>
      <c r="D550" s="324">
        <v>-47200</v>
      </c>
      <c r="E550" s="315">
        <f t="shared" si="25"/>
        <v>1424800</v>
      </c>
    </row>
    <row r="551" spans="1:5">
      <c r="A551" s="317" t="s">
        <v>682</v>
      </c>
      <c r="B551" s="315">
        <v>1216000</v>
      </c>
      <c r="C551" s="324"/>
      <c r="D551" s="324">
        <v>40000</v>
      </c>
      <c r="E551" s="315">
        <f t="shared" si="25"/>
        <v>1256000</v>
      </c>
    </row>
    <row r="552" spans="1:5">
      <c r="A552" s="317" t="s">
        <v>683</v>
      </c>
      <c r="B552" s="315">
        <v>934064</v>
      </c>
      <c r="C552" s="324">
        <v>-2500</v>
      </c>
      <c r="D552" s="324">
        <v>12200</v>
      </c>
      <c r="E552" s="315">
        <f t="shared" si="25"/>
        <v>943764</v>
      </c>
    </row>
    <row r="553" spans="1:5">
      <c r="A553" s="115" t="s">
        <v>684</v>
      </c>
      <c r="B553" s="315">
        <v>101186</v>
      </c>
      <c r="C553" s="324"/>
      <c r="D553" s="324">
        <v>-5000</v>
      </c>
      <c r="E553" s="315">
        <f t="shared" si="25"/>
        <v>96186</v>
      </c>
    </row>
    <row r="554" spans="1:5">
      <c r="A554" s="115" t="s">
        <v>685</v>
      </c>
      <c r="B554" s="315">
        <v>18240</v>
      </c>
      <c r="C554" s="324"/>
      <c r="D554" s="324"/>
      <c r="E554" s="315">
        <f t="shared" si="25"/>
        <v>18240</v>
      </c>
    </row>
    <row r="555" spans="1:5">
      <c r="A555" s="115" t="s">
        <v>686</v>
      </c>
      <c r="B555" s="315">
        <v>30000</v>
      </c>
      <c r="C555" s="324"/>
      <c r="D555" s="324"/>
      <c r="E555" s="315">
        <f t="shared" si="25"/>
        <v>30000</v>
      </c>
    </row>
    <row r="556" spans="1:5">
      <c r="A556" s="328"/>
      <c r="B556" s="289"/>
      <c r="C556" s="280"/>
      <c r="D556" s="280"/>
      <c r="E556" s="289">
        <f t="shared" si="25"/>
        <v>0</v>
      </c>
    </row>
    <row r="557" spans="1:5">
      <c r="A557" s="108" t="s">
        <v>211</v>
      </c>
      <c r="B557" s="288">
        <f>B558</f>
        <v>7026035</v>
      </c>
      <c r="C557" s="288">
        <f t="shared" ref="C557" si="28">C558</f>
        <v>0</v>
      </c>
      <c r="D557" s="288"/>
      <c r="E557" s="288">
        <f t="shared" si="25"/>
        <v>7026035</v>
      </c>
    </row>
    <row r="558" spans="1:5">
      <c r="A558" s="115" t="s">
        <v>687</v>
      </c>
      <c r="B558" s="315">
        <f>B559+B560</f>
        <v>7026035</v>
      </c>
      <c r="C558" s="315">
        <f t="shared" ref="C558" si="29">C559+C560</f>
        <v>0</v>
      </c>
      <c r="D558" s="315"/>
      <c r="E558" s="315">
        <f t="shared" si="25"/>
        <v>7026035</v>
      </c>
    </row>
    <row r="559" spans="1:5">
      <c r="A559" s="109" t="s">
        <v>408</v>
      </c>
      <c r="B559" s="315">
        <v>7023035</v>
      </c>
      <c r="C559" s="324"/>
      <c r="D559" s="324"/>
      <c r="E559" s="315">
        <f t="shared" si="25"/>
        <v>7023035</v>
      </c>
    </row>
    <row r="560" spans="1:5">
      <c r="A560" s="110" t="s">
        <v>212</v>
      </c>
      <c r="B560" s="315">
        <v>3000</v>
      </c>
      <c r="C560" s="324"/>
      <c r="D560" s="324"/>
      <c r="E560" s="315">
        <f t="shared" si="25"/>
        <v>3000</v>
      </c>
    </row>
    <row r="561" spans="1:5">
      <c r="A561" s="115" t="s">
        <v>599</v>
      </c>
      <c r="B561" s="315"/>
      <c r="C561" s="280"/>
      <c r="D561" s="280"/>
      <c r="E561" s="315">
        <f t="shared" si="25"/>
        <v>0</v>
      </c>
    </row>
    <row r="562" spans="1:5">
      <c r="A562" s="82"/>
      <c r="B562" s="288"/>
      <c r="C562" s="280"/>
      <c r="D562" s="280"/>
      <c r="E562" s="288">
        <f t="shared" si="25"/>
        <v>0</v>
      </c>
    </row>
    <row r="563" spans="1:5">
      <c r="A563" s="82" t="s">
        <v>45</v>
      </c>
      <c r="B563" s="288">
        <f>SUM(B564:B566)</f>
        <v>52720</v>
      </c>
      <c r="C563" s="280"/>
      <c r="D563" s="280"/>
      <c r="E563" s="288">
        <f t="shared" si="25"/>
        <v>52720</v>
      </c>
    </row>
    <row r="564" spans="1:5">
      <c r="A564" s="111" t="s">
        <v>495</v>
      </c>
      <c r="B564" s="315">
        <v>17575</v>
      </c>
      <c r="C564" s="324"/>
      <c r="D564" s="324"/>
      <c r="E564" s="315">
        <f t="shared" si="25"/>
        <v>17575</v>
      </c>
    </row>
    <row r="565" spans="1:5" ht="22.5">
      <c r="A565" s="112" t="s">
        <v>672</v>
      </c>
      <c r="B565" s="315">
        <v>14000</v>
      </c>
      <c r="C565" s="324"/>
      <c r="D565" s="324"/>
      <c r="E565" s="315">
        <f t="shared" si="25"/>
        <v>14000</v>
      </c>
    </row>
    <row r="566" spans="1:5">
      <c r="A566" s="115" t="s">
        <v>213</v>
      </c>
      <c r="B566" s="315">
        <v>21145</v>
      </c>
      <c r="C566" s="324"/>
      <c r="D566" s="324"/>
      <c r="E566" s="315">
        <f t="shared" si="25"/>
        <v>21145</v>
      </c>
    </row>
    <row r="567" spans="1:5">
      <c r="A567" s="112"/>
      <c r="B567" s="315"/>
      <c r="C567" s="324"/>
      <c r="D567" s="324"/>
      <c r="E567" s="315">
        <f t="shared" si="25"/>
        <v>0</v>
      </c>
    </row>
    <row r="568" spans="1:5" ht="25.5">
      <c r="A568" s="257" t="s">
        <v>1094</v>
      </c>
      <c r="B568" s="315"/>
      <c r="C568" s="280">
        <v>12000</v>
      </c>
      <c r="D568" s="280">
        <v>5000</v>
      </c>
      <c r="E568" s="280">
        <f t="shared" si="25"/>
        <v>17000</v>
      </c>
    </row>
    <row r="569" spans="1:5">
      <c r="A569" s="257"/>
      <c r="B569" s="315"/>
      <c r="C569" s="280"/>
      <c r="D569" s="280"/>
      <c r="E569" s="315">
        <f t="shared" si="25"/>
        <v>0</v>
      </c>
    </row>
    <row r="570" spans="1:5">
      <c r="A570" s="597" t="s">
        <v>1078</v>
      </c>
      <c r="B570" s="315"/>
      <c r="C570" s="280"/>
      <c r="D570" s="280">
        <v>6100</v>
      </c>
      <c r="E570" s="315">
        <f t="shared" si="25"/>
        <v>6100</v>
      </c>
    </row>
    <row r="571" spans="1:5">
      <c r="A571" s="112"/>
      <c r="B571" s="315"/>
      <c r="C571" s="324"/>
      <c r="D571" s="324"/>
      <c r="E571" s="315">
        <f t="shared" si="25"/>
        <v>0</v>
      </c>
    </row>
    <row r="572" spans="1:5" ht="25.5">
      <c r="A572" s="113" t="s">
        <v>580</v>
      </c>
      <c r="B572" s="288">
        <v>12569</v>
      </c>
      <c r="C572" s="280"/>
      <c r="D572" s="280"/>
      <c r="E572" s="288">
        <f t="shared" si="25"/>
        <v>12569</v>
      </c>
    </row>
    <row r="573" spans="1:5">
      <c r="A573" s="78" t="s">
        <v>173</v>
      </c>
      <c r="B573" s="289">
        <v>2210</v>
      </c>
      <c r="C573" s="301"/>
      <c r="D573" s="301"/>
      <c r="E573" s="289">
        <f t="shared" si="25"/>
        <v>2210</v>
      </c>
    </row>
    <row r="574" spans="1:5">
      <c r="A574" s="78"/>
      <c r="B574" s="288"/>
      <c r="C574" s="301"/>
      <c r="D574" s="301"/>
      <c r="E574" s="288">
        <f t="shared" si="25"/>
        <v>0</v>
      </c>
    </row>
    <row r="575" spans="1:5">
      <c r="A575" s="88" t="s">
        <v>184</v>
      </c>
      <c r="B575" s="289">
        <v>12569</v>
      </c>
      <c r="C575" s="301"/>
      <c r="D575" s="301"/>
      <c r="E575" s="289">
        <f t="shared" si="25"/>
        <v>12569</v>
      </c>
    </row>
    <row r="576" spans="1:5">
      <c r="A576" s="78"/>
      <c r="B576" s="289"/>
      <c r="C576" s="301"/>
      <c r="D576" s="301"/>
      <c r="E576" s="289">
        <f t="shared" si="25"/>
        <v>0</v>
      </c>
    </row>
    <row r="577" spans="1:5" ht="24">
      <c r="A577" s="352" t="s">
        <v>754</v>
      </c>
      <c r="B577" s="289"/>
      <c r="C577" s="280">
        <v>30600</v>
      </c>
      <c r="D577" s="280"/>
      <c r="E577" s="280">
        <f t="shared" si="25"/>
        <v>30600</v>
      </c>
    </row>
    <row r="578" spans="1:5">
      <c r="A578" s="78"/>
      <c r="B578" s="289"/>
      <c r="C578" s="301"/>
      <c r="D578" s="301"/>
      <c r="E578" s="289">
        <f t="shared" si="25"/>
        <v>0</v>
      </c>
    </row>
    <row r="579" spans="1:5">
      <c r="A579" s="88" t="s">
        <v>184</v>
      </c>
      <c r="B579" s="289"/>
      <c r="C579" s="301">
        <v>26010</v>
      </c>
      <c r="D579" s="301"/>
      <c r="E579" s="289">
        <f t="shared" si="25"/>
        <v>26010</v>
      </c>
    </row>
    <row r="580" spans="1:5">
      <c r="A580" s="88"/>
      <c r="B580" s="296"/>
      <c r="C580" s="280"/>
      <c r="D580" s="280"/>
      <c r="E580" s="296">
        <f t="shared" si="25"/>
        <v>0</v>
      </c>
    </row>
    <row r="581" spans="1:5">
      <c r="A581" s="114" t="s">
        <v>744</v>
      </c>
      <c r="B581" s="329">
        <f>B583+B586+B591+B595+B597+B599+B601+B603+B605+B607+B609</f>
        <v>1998354</v>
      </c>
      <c r="C581" s="329">
        <f t="shared" ref="C581" si="30">C583+C586+C591+C595+C597+C599+C601+C603+C605+C607+C609</f>
        <v>60244</v>
      </c>
      <c r="D581" s="329">
        <f>D583+D586+D591+D595+D597+D599+D601+D603+D605+D607+D609+D593</f>
        <v>-61100</v>
      </c>
      <c r="E581" s="329">
        <f t="shared" si="25"/>
        <v>1997498</v>
      </c>
    </row>
    <row r="582" spans="1:5">
      <c r="A582" s="114"/>
      <c r="B582" s="315"/>
      <c r="C582" s="280"/>
      <c r="D582" s="280"/>
      <c r="E582" s="315">
        <f t="shared" si="25"/>
        <v>0</v>
      </c>
    </row>
    <row r="583" spans="1:5">
      <c r="A583" s="82" t="s">
        <v>214</v>
      </c>
      <c r="B583" s="288">
        <v>199360</v>
      </c>
      <c r="C583" s="280">
        <v>21628</v>
      </c>
      <c r="D583" s="280">
        <v>11900</v>
      </c>
      <c r="E583" s="288">
        <f t="shared" ref="E583:E646" si="31">SUM(B583:D583)</f>
        <v>232888</v>
      </c>
    </row>
    <row r="584" spans="1:5">
      <c r="A584" s="78" t="s">
        <v>173</v>
      </c>
      <c r="B584" s="289">
        <v>75440</v>
      </c>
      <c r="C584" s="301">
        <v>26031</v>
      </c>
      <c r="D584" s="301"/>
      <c r="E584" s="289">
        <f t="shared" si="31"/>
        <v>101471</v>
      </c>
    </row>
    <row r="585" spans="1:5">
      <c r="A585" s="114"/>
      <c r="B585" s="289"/>
      <c r="C585" s="280"/>
      <c r="D585" s="280"/>
      <c r="E585" s="289">
        <f t="shared" si="31"/>
        <v>0</v>
      </c>
    </row>
    <row r="586" spans="1:5">
      <c r="A586" s="82" t="s">
        <v>215</v>
      </c>
      <c r="B586" s="288">
        <f>B588+B589</f>
        <v>764204</v>
      </c>
      <c r="C586" s="288">
        <f t="shared" ref="C586" si="32">C588+C589</f>
        <v>48616</v>
      </c>
      <c r="D586" s="288"/>
      <c r="E586" s="288">
        <f t="shared" si="31"/>
        <v>812820</v>
      </c>
    </row>
    <row r="587" spans="1:5" ht="13.5" customHeight="1">
      <c r="A587" s="78" t="s">
        <v>173</v>
      </c>
      <c r="B587" s="289">
        <v>4000</v>
      </c>
      <c r="C587" s="301"/>
      <c r="D587" s="301"/>
      <c r="E587" s="289">
        <f t="shared" si="31"/>
        <v>4000</v>
      </c>
    </row>
    <row r="588" spans="1:5">
      <c r="A588" s="107" t="s">
        <v>409</v>
      </c>
      <c r="B588" s="315">
        <v>454354</v>
      </c>
      <c r="C588" s="324">
        <v>25000</v>
      </c>
      <c r="D588" s="324"/>
      <c r="E588" s="315">
        <f t="shared" si="31"/>
        <v>479354</v>
      </c>
    </row>
    <row r="589" spans="1:5">
      <c r="A589" s="115" t="s">
        <v>216</v>
      </c>
      <c r="B589" s="315">
        <v>309850</v>
      </c>
      <c r="C589" s="324">
        <v>23616</v>
      </c>
      <c r="D589" s="324"/>
      <c r="E589" s="315">
        <f t="shared" si="31"/>
        <v>333466</v>
      </c>
    </row>
    <row r="590" spans="1:5">
      <c r="A590" s="116"/>
      <c r="B590" s="288"/>
      <c r="C590" s="280"/>
      <c r="D590" s="280"/>
      <c r="E590" s="288">
        <f t="shared" si="31"/>
        <v>0</v>
      </c>
    </row>
    <row r="591" spans="1:5">
      <c r="A591" s="82" t="s">
        <v>39</v>
      </c>
      <c r="B591" s="288">
        <v>363145</v>
      </c>
      <c r="C591" s="280">
        <v>-4000</v>
      </c>
      <c r="D591" s="280">
        <v>-100000</v>
      </c>
      <c r="E591" s="288">
        <f t="shared" si="31"/>
        <v>259145</v>
      </c>
    </row>
    <row r="592" spans="1:5">
      <c r="A592" s="82"/>
      <c r="B592" s="288"/>
      <c r="C592" s="280"/>
      <c r="D592" s="280"/>
      <c r="E592" s="288">
        <f t="shared" si="31"/>
        <v>0</v>
      </c>
    </row>
    <row r="593" spans="1:5">
      <c r="A593" s="82" t="s">
        <v>1079</v>
      </c>
      <c r="B593" s="288"/>
      <c r="C593" s="280"/>
      <c r="D593" s="280">
        <v>8800</v>
      </c>
      <c r="E593" s="288">
        <f t="shared" si="31"/>
        <v>8800</v>
      </c>
    </row>
    <row r="594" spans="1:5">
      <c r="A594" s="116"/>
      <c r="B594" s="288"/>
      <c r="C594" s="280"/>
      <c r="D594" s="280"/>
      <c r="E594" s="288">
        <f t="shared" si="31"/>
        <v>0</v>
      </c>
    </row>
    <row r="595" spans="1:5">
      <c r="A595" s="82" t="s">
        <v>77</v>
      </c>
      <c r="B595" s="288">
        <v>215000</v>
      </c>
      <c r="C595" s="280">
        <v>-6000</v>
      </c>
      <c r="D595" s="280">
        <v>-8800</v>
      </c>
      <c r="E595" s="288">
        <f t="shared" si="31"/>
        <v>200200</v>
      </c>
    </row>
    <row r="596" spans="1:5">
      <c r="A596" s="82"/>
      <c r="B596" s="288"/>
      <c r="C596" s="280"/>
      <c r="D596" s="280"/>
      <c r="E596" s="288">
        <f t="shared" si="31"/>
        <v>0</v>
      </c>
    </row>
    <row r="597" spans="1:5">
      <c r="A597" s="86" t="s">
        <v>375</v>
      </c>
      <c r="B597" s="288">
        <v>32075</v>
      </c>
      <c r="C597" s="280"/>
      <c r="D597" s="280"/>
      <c r="E597" s="288">
        <f t="shared" si="31"/>
        <v>32075</v>
      </c>
    </row>
    <row r="598" spans="1:5">
      <c r="A598" s="86"/>
      <c r="B598" s="288"/>
      <c r="C598" s="280"/>
      <c r="D598" s="280"/>
      <c r="E598" s="288">
        <f t="shared" si="31"/>
        <v>0</v>
      </c>
    </row>
    <row r="599" spans="1:5">
      <c r="A599" s="117" t="s">
        <v>78</v>
      </c>
      <c r="B599" s="288">
        <v>224000</v>
      </c>
      <c r="C599" s="280"/>
      <c r="D599" s="280">
        <v>27000</v>
      </c>
      <c r="E599" s="288">
        <f t="shared" si="31"/>
        <v>251000</v>
      </c>
    </row>
    <row r="600" spans="1:5">
      <c r="A600" s="115"/>
      <c r="B600" s="288"/>
      <c r="C600" s="280"/>
      <c r="D600" s="280"/>
      <c r="E600" s="288">
        <f t="shared" si="31"/>
        <v>0</v>
      </c>
    </row>
    <row r="601" spans="1:5">
      <c r="A601" s="82" t="s">
        <v>217</v>
      </c>
      <c r="B601" s="288">
        <v>7230</v>
      </c>
      <c r="C601" s="280"/>
      <c r="D601" s="280"/>
      <c r="E601" s="288">
        <f t="shared" si="31"/>
        <v>7230</v>
      </c>
    </row>
    <row r="602" spans="1:5">
      <c r="A602" s="82"/>
      <c r="B602" s="288"/>
      <c r="C602" s="280"/>
      <c r="D602" s="280"/>
      <c r="E602" s="288">
        <f t="shared" si="31"/>
        <v>0</v>
      </c>
    </row>
    <row r="603" spans="1:5">
      <c r="A603" s="82" t="s">
        <v>500</v>
      </c>
      <c r="B603" s="288">
        <v>78000</v>
      </c>
      <c r="C603" s="280"/>
      <c r="D603" s="280"/>
      <c r="E603" s="288">
        <f t="shared" si="31"/>
        <v>78000</v>
      </c>
    </row>
    <row r="604" spans="1:5">
      <c r="A604" s="82"/>
      <c r="B604" s="288"/>
      <c r="C604" s="280"/>
      <c r="D604" s="280"/>
      <c r="E604" s="288">
        <f t="shared" si="31"/>
        <v>0</v>
      </c>
    </row>
    <row r="605" spans="1:5">
      <c r="A605" s="82" t="s">
        <v>368</v>
      </c>
      <c r="B605" s="288">
        <v>25170</v>
      </c>
      <c r="C605" s="280"/>
      <c r="D605" s="280"/>
      <c r="E605" s="288">
        <f t="shared" si="31"/>
        <v>25170</v>
      </c>
    </row>
    <row r="606" spans="1:5">
      <c r="A606" s="82"/>
      <c r="B606" s="288"/>
      <c r="C606" s="280"/>
      <c r="D606" s="280"/>
      <c r="E606" s="288">
        <f t="shared" si="31"/>
        <v>0</v>
      </c>
    </row>
    <row r="607" spans="1:5">
      <c r="A607" s="82" t="s">
        <v>367</v>
      </c>
      <c r="B607" s="288">
        <v>15170</v>
      </c>
      <c r="C607" s="280"/>
      <c r="D607" s="280"/>
      <c r="E607" s="288">
        <f t="shared" si="31"/>
        <v>15170</v>
      </c>
    </row>
    <row r="608" spans="1:5">
      <c r="A608" s="82"/>
      <c r="B608" s="288"/>
      <c r="C608" s="280"/>
      <c r="D608" s="280"/>
      <c r="E608" s="288">
        <f t="shared" si="31"/>
        <v>0</v>
      </c>
    </row>
    <row r="609" spans="1:6">
      <c r="A609" s="82" t="s">
        <v>693</v>
      </c>
      <c r="B609" s="288">
        <v>75000</v>
      </c>
      <c r="C609" s="280"/>
      <c r="D609" s="280">
        <v>0</v>
      </c>
      <c r="E609" s="288">
        <f t="shared" si="31"/>
        <v>75000</v>
      </c>
    </row>
    <row r="610" spans="1:6">
      <c r="A610" s="78" t="s">
        <v>173</v>
      </c>
      <c r="B610" s="289">
        <v>9600</v>
      </c>
      <c r="C610" s="301"/>
      <c r="D610" s="301">
        <v>10000</v>
      </c>
      <c r="E610" s="289">
        <f t="shared" si="31"/>
        <v>19600</v>
      </c>
    </row>
    <row r="611" spans="1:6">
      <c r="A611" s="78"/>
      <c r="B611" s="289"/>
      <c r="C611" s="280"/>
      <c r="D611" s="280"/>
      <c r="E611" s="289">
        <f t="shared" si="31"/>
        <v>0</v>
      </c>
    </row>
    <row r="612" spans="1:6">
      <c r="A612" s="82"/>
      <c r="B612" s="288"/>
      <c r="E612" s="288">
        <f t="shared" si="31"/>
        <v>0</v>
      </c>
    </row>
    <row r="613" spans="1:6" ht="15.75">
      <c r="A613" s="160" t="s">
        <v>159</v>
      </c>
      <c r="B613" s="147"/>
      <c r="E613" s="147">
        <f t="shared" si="31"/>
        <v>0</v>
      </c>
    </row>
    <row r="614" spans="1:6">
      <c r="A614" s="161"/>
      <c r="B614" s="147"/>
      <c r="E614" s="147">
        <f t="shared" si="31"/>
        <v>0</v>
      </c>
    </row>
    <row r="615" spans="1:6">
      <c r="A615" s="161" t="s">
        <v>168</v>
      </c>
      <c r="B615" s="162">
        <f>SUM(B621,B626,B631)</f>
        <v>16285405</v>
      </c>
      <c r="C615" s="162">
        <f>SUM(C621,C626,C631)</f>
        <v>59282</v>
      </c>
      <c r="D615" s="162">
        <f>SUM(D621,D626,D631)</f>
        <v>-41329</v>
      </c>
      <c r="E615" s="162">
        <f t="shared" si="31"/>
        <v>16303358</v>
      </c>
    </row>
    <row r="616" spans="1:6">
      <c r="A616" s="163" t="s">
        <v>185</v>
      </c>
      <c r="B616" s="164">
        <v>1576200</v>
      </c>
      <c r="C616" s="164"/>
      <c r="D616" s="164"/>
      <c r="E616" s="164">
        <f t="shared" si="31"/>
        <v>1576200</v>
      </c>
    </row>
    <row r="617" spans="1:6">
      <c r="A617" s="165" t="s">
        <v>169</v>
      </c>
      <c r="B617" s="162">
        <f>SUM(B618:B619)</f>
        <v>16285405</v>
      </c>
      <c r="C617" s="162">
        <f>SUM(C618:C619)</f>
        <v>59282</v>
      </c>
      <c r="D617" s="162">
        <f>SUM(D618:D619)</f>
        <v>-41329</v>
      </c>
      <c r="E617" s="162">
        <f t="shared" si="31"/>
        <v>16303358</v>
      </c>
    </row>
    <row r="618" spans="1:6">
      <c r="A618" s="166" t="s">
        <v>170</v>
      </c>
      <c r="B618" s="167">
        <v>3180590</v>
      </c>
      <c r="C618" s="167">
        <v>32000</v>
      </c>
      <c r="D618" s="167">
        <v>6234</v>
      </c>
      <c r="E618" s="167">
        <f t="shared" si="31"/>
        <v>3218824</v>
      </c>
    </row>
    <row r="619" spans="1:6" s="286" customFormat="1">
      <c r="A619" s="26" t="s">
        <v>171</v>
      </c>
      <c r="B619" s="167">
        <f>B615-B618</f>
        <v>13104815</v>
      </c>
      <c r="C619" s="167">
        <f>C615-C618</f>
        <v>27282</v>
      </c>
      <c r="D619" s="167">
        <f>D615-D618</f>
        <v>-47563</v>
      </c>
      <c r="E619" s="167">
        <f t="shared" si="31"/>
        <v>13084534</v>
      </c>
      <c r="F619" s="250"/>
    </row>
    <row r="620" spans="1:6">
      <c r="A620" s="168"/>
      <c r="B620" s="169"/>
      <c r="C620" s="169"/>
      <c r="D620" s="169"/>
      <c r="E620" s="169">
        <f t="shared" si="31"/>
        <v>0</v>
      </c>
    </row>
    <row r="621" spans="1:6" ht="15">
      <c r="A621" s="330" t="s">
        <v>218</v>
      </c>
      <c r="B621" s="170">
        <f>SUM(B622)</f>
        <v>2531800</v>
      </c>
      <c r="C621" s="170">
        <f>SUM(C622)</f>
        <v>32000</v>
      </c>
      <c r="D621" s="170"/>
      <c r="E621" s="170">
        <f t="shared" si="31"/>
        <v>2563800</v>
      </c>
    </row>
    <row r="622" spans="1:6">
      <c r="A622" s="331" t="s">
        <v>219</v>
      </c>
      <c r="B622" s="162">
        <f>SUM(B624)</f>
        <v>2531800</v>
      </c>
      <c r="C622" s="162">
        <f>SUM(C624)</f>
        <v>32000</v>
      </c>
      <c r="D622" s="162"/>
      <c r="E622" s="162">
        <f t="shared" si="31"/>
        <v>2563800</v>
      </c>
    </row>
    <row r="623" spans="1:6">
      <c r="A623" s="332" t="s">
        <v>179</v>
      </c>
      <c r="B623" s="167"/>
      <c r="C623" s="167"/>
      <c r="D623" s="167"/>
      <c r="E623" s="167">
        <f t="shared" si="31"/>
        <v>0</v>
      </c>
    </row>
    <row r="624" spans="1:6">
      <c r="A624" s="94" t="s">
        <v>220</v>
      </c>
      <c r="B624" s="171">
        <v>2531800</v>
      </c>
      <c r="C624" s="171">
        <v>32000</v>
      </c>
      <c r="D624" s="171"/>
      <c r="E624" s="171">
        <f t="shared" si="31"/>
        <v>2563800</v>
      </c>
    </row>
    <row r="625" spans="1:5">
      <c r="A625" s="333"/>
      <c r="B625" s="172"/>
      <c r="C625" s="172"/>
      <c r="D625" s="172"/>
      <c r="E625" s="172">
        <f t="shared" si="31"/>
        <v>0</v>
      </c>
    </row>
    <row r="626" spans="1:5" ht="15">
      <c r="A626" s="300" t="s">
        <v>201</v>
      </c>
      <c r="B626" s="170">
        <f>SUM(B627)</f>
        <v>610000</v>
      </c>
      <c r="C626" s="170"/>
      <c r="D626" s="170"/>
      <c r="E626" s="170">
        <f t="shared" si="31"/>
        <v>610000</v>
      </c>
    </row>
    <row r="627" spans="1:5">
      <c r="A627" s="310" t="s">
        <v>207</v>
      </c>
      <c r="B627" s="162">
        <f>SUM(B629)</f>
        <v>610000</v>
      </c>
      <c r="C627" s="162"/>
      <c r="D627" s="162"/>
      <c r="E627" s="162">
        <f t="shared" si="31"/>
        <v>610000</v>
      </c>
    </row>
    <row r="628" spans="1:5">
      <c r="A628" s="332" t="s">
        <v>179</v>
      </c>
      <c r="B628" s="335"/>
      <c r="C628" s="335"/>
      <c r="D628" s="335"/>
      <c r="E628" s="335">
        <f t="shared" si="31"/>
        <v>0</v>
      </c>
    </row>
    <row r="629" spans="1:5">
      <c r="A629" s="94" t="s">
        <v>406</v>
      </c>
      <c r="B629" s="171">
        <v>610000</v>
      </c>
      <c r="C629" s="171"/>
      <c r="D629" s="171"/>
      <c r="E629" s="171">
        <f t="shared" si="31"/>
        <v>610000</v>
      </c>
    </row>
    <row r="630" spans="1:5">
      <c r="A630" s="173"/>
      <c r="B630" s="334"/>
      <c r="C630" s="334"/>
      <c r="D630" s="334"/>
      <c r="E630" s="334">
        <f t="shared" si="31"/>
        <v>0</v>
      </c>
    </row>
    <row r="631" spans="1:5">
      <c r="A631" s="161" t="s">
        <v>172</v>
      </c>
      <c r="B631" s="162">
        <f>SUM(B633,B638,B652,B650,B636)</f>
        <v>13143605</v>
      </c>
      <c r="C631" s="162">
        <f>SUM(C633,C638,C652,C650,C636)</f>
        <v>27282</v>
      </c>
      <c r="D631" s="162">
        <f>SUM(D633,D638,D652,D650,D636)</f>
        <v>-41329</v>
      </c>
      <c r="E631" s="162">
        <f t="shared" si="31"/>
        <v>13129558</v>
      </c>
    </row>
    <row r="632" spans="1:5">
      <c r="A632" s="161"/>
      <c r="B632" s="162"/>
      <c r="C632" s="162"/>
      <c r="D632" s="162"/>
      <c r="E632" s="162">
        <f t="shared" si="31"/>
        <v>0</v>
      </c>
    </row>
    <row r="633" spans="1:5">
      <c r="A633" s="79" t="s">
        <v>708</v>
      </c>
      <c r="B633" s="174">
        <f>1986227+11496+5392</f>
        <v>2003115</v>
      </c>
      <c r="C633" s="174">
        <v>27282</v>
      </c>
      <c r="D633" s="174">
        <v>-2829</v>
      </c>
      <c r="E633" s="174">
        <f t="shared" si="31"/>
        <v>2027568</v>
      </c>
    </row>
    <row r="634" spans="1:5">
      <c r="A634" s="83" t="s">
        <v>173</v>
      </c>
      <c r="B634" s="296">
        <f>1167864+8592+4030</f>
        <v>1180486</v>
      </c>
      <c r="C634" s="296">
        <v>16115</v>
      </c>
      <c r="D634" s="296">
        <v>-2115</v>
      </c>
      <c r="E634" s="296">
        <f t="shared" si="31"/>
        <v>1194486</v>
      </c>
    </row>
    <row r="635" spans="1:5">
      <c r="A635" s="83"/>
      <c r="B635" s="296"/>
      <c r="E635" s="296">
        <f t="shared" si="31"/>
        <v>0</v>
      </c>
    </row>
    <row r="636" spans="1:5">
      <c r="A636" s="79" t="s">
        <v>263</v>
      </c>
      <c r="B636" s="174">
        <v>80200</v>
      </c>
      <c r="D636" s="278">
        <v>-40000</v>
      </c>
      <c r="E636" s="174">
        <f t="shared" si="31"/>
        <v>40200</v>
      </c>
    </row>
    <row r="637" spans="1:5">
      <c r="A637" s="161"/>
      <c r="B637" s="164"/>
      <c r="E637" s="164">
        <f t="shared" si="31"/>
        <v>0</v>
      </c>
    </row>
    <row r="638" spans="1:5">
      <c r="A638" s="86" t="s">
        <v>221</v>
      </c>
      <c r="B638" s="174">
        <f>SUM(B639:B648)</f>
        <v>10685500</v>
      </c>
      <c r="C638" s="174">
        <f t="shared" ref="C638:D638" si="33">SUM(C639:C648)</f>
        <v>0</v>
      </c>
      <c r="D638" s="174">
        <f t="shared" si="33"/>
        <v>1500</v>
      </c>
      <c r="E638" s="174">
        <f t="shared" si="31"/>
        <v>10687000</v>
      </c>
    </row>
    <row r="639" spans="1:5">
      <c r="A639" s="111" t="s">
        <v>420</v>
      </c>
      <c r="B639" s="175">
        <v>370000</v>
      </c>
      <c r="E639" s="175">
        <f t="shared" si="31"/>
        <v>370000</v>
      </c>
    </row>
    <row r="640" spans="1:5">
      <c r="A640" s="112" t="s">
        <v>222</v>
      </c>
      <c r="B640" s="175">
        <v>2390000</v>
      </c>
      <c r="E640" s="175">
        <f t="shared" si="31"/>
        <v>2390000</v>
      </c>
    </row>
    <row r="641" spans="1:5">
      <c r="A641" s="112" t="s">
        <v>223</v>
      </c>
      <c r="B641" s="175">
        <v>7766000</v>
      </c>
      <c r="E641" s="175">
        <f t="shared" si="31"/>
        <v>7766000</v>
      </c>
    </row>
    <row r="642" spans="1:5">
      <c r="A642" s="112" t="s">
        <v>79</v>
      </c>
      <c r="B642" s="175">
        <v>70000</v>
      </c>
      <c r="E642" s="175">
        <f t="shared" si="31"/>
        <v>70000</v>
      </c>
    </row>
    <row r="643" spans="1:5">
      <c r="A643" s="112" t="s">
        <v>80</v>
      </c>
      <c r="B643" s="175">
        <v>9600</v>
      </c>
      <c r="E643" s="175">
        <f t="shared" si="31"/>
        <v>9600</v>
      </c>
    </row>
    <row r="644" spans="1:5">
      <c r="A644" s="176" t="s">
        <v>376</v>
      </c>
      <c r="B644" s="175">
        <v>6400</v>
      </c>
      <c r="E644" s="175">
        <f t="shared" si="31"/>
        <v>6400</v>
      </c>
    </row>
    <row r="645" spans="1:5">
      <c r="A645" s="112" t="s">
        <v>81</v>
      </c>
      <c r="B645" s="175">
        <v>15000</v>
      </c>
      <c r="D645" s="278">
        <v>5000</v>
      </c>
      <c r="E645" s="175">
        <f t="shared" si="31"/>
        <v>20000</v>
      </c>
    </row>
    <row r="646" spans="1:5">
      <c r="A646" s="112" t="s">
        <v>48</v>
      </c>
      <c r="B646" s="175">
        <v>5000</v>
      </c>
      <c r="D646" s="278">
        <v>-3500</v>
      </c>
      <c r="E646" s="175">
        <f t="shared" si="31"/>
        <v>1500</v>
      </c>
    </row>
    <row r="647" spans="1:5">
      <c r="A647" s="112" t="s">
        <v>581</v>
      </c>
      <c r="B647" s="175">
        <v>40000</v>
      </c>
      <c r="E647" s="175">
        <f t="shared" ref="E647:E710" si="34">SUM(B647:D647)</f>
        <v>40000</v>
      </c>
    </row>
    <row r="648" spans="1:5">
      <c r="A648" s="112" t="s">
        <v>496</v>
      </c>
      <c r="B648" s="175">
        <v>13500</v>
      </c>
      <c r="E648" s="175">
        <f t="shared" si="34"/>
        <v>13500</v>
      </c>
    </row>
    <row r="649" spans="1:5">
      <c r="A649" s="137"/>
      <c r="B649" s="175"/>
      <c r="E649" s="175">
        <f t="shared" si="34"/>
        <v>0</v>
      </c>
    </row>
    <row r="650" spans="1:5">
      <c r="A650" s="77" t="s">
        <v>265</v>
      </c>
      <c r="B650" s="336">
        <v>74790</v>
      </c>
      <c r="E650" s="336">
        <f t="shared" si="34"/>
        <v>74790</v>
      </c>
    </row>
    <row r="651" spans="1:5">
      <c r="A651" s="137"/>
      <c r="B651" s="336"/>
      <c r="E651" s="336">
        <f t="shared" si="34"/>
        <v>0</v>
      </c>
    </row>
    <row r="652" spans="1:5">
      <c r="A652" s="79" t="s">
        <v>421</v>
      </c>
      <c r="B652" s="336">
        <v>300000</v>
      </c>
      <c r="E652" s="336">
        <f t="shared" si="34"/>
        <v>300000</v>
      </c>
    </row>
    <row r="653" spans="1:5">
      <c r="A653" s="77"/>
      <c r="B653" s="296"/>
      <c r="E653" s="296">
        <f t="shared" si="34"/>
        <v>0</v>
      </c>
    </row>
    <row r="654" spans="1:5">
      <c r="A654" s="77"/>
      <c r="B654" s="296"/>
      <c r="E654" s="296">
        <f t="shared" si="34"/>
        <v>0</v>
      </c>
    </row>
    <row r="655" spans="1:5" ht="15.75">
      <c r="A655" s="89" t="s">
        <v>384</v>
      </c>
      <c r="B655" s="288"/>
      <c r="E655" s="288">
        <f t="shared" si="34"/>
        <v>0</v>
      </c>
    </row>
    <row r="656" spans="1:5">
      <c r="A656" s="293"/>
      <c r="B656" s="288"/>
      <c r="E656" s="288">
        <f t="shared" si="34"/>
        <v>0</v>
      </c>
    </row>
    <row r="657" spans="1:6">
      <c r="A657" s="90" t="s">
        <v>168</v>
      </c>
      <c r="B657" s="284">
        <f>B664+B710+B718</f>
        <v>9138998</v>
      </c>
      <c r="C657" s="284">
        <f>C664+C710+C718</f>
        <v>44300</v>
      </c>
      <c r="D657" s="284">
        <f>D664+D710+D718</f>
        <v>142183</v>
      </c>
      <c r="E657" s="284">
        <f t="shared" si="34"/>
        <v>9325481</v>
      </c>
    </row>
    <row r="658" spans="1:6">
      <c r="A658" s="67" t="s">
        <v>185</v>
      </c>
      <c r="B658" s="307">
        <v>193340</v>
      </c>
      <c r="C658" s="318"/>
      <c r="D658" s="318"/>
      <c r="E658" s="307">
        <f t="shared" si="34"/>
        <v>193340</v>
      </c>
    </row>
    <row r="659" spans="1:6">
      <c r="A659" s="91" t="s">
        <v>169</v>
      </c>
      <c r="B659" s="284">
        <f>B660+B662</f>
        <v>9138998</v>
      </c>
      <c r="C659" s="284">
        <f>C660+C662+C661</f>
        <v>44300</v>
      </c>
      <c r="D659" s="284">
        <f>D660+D662+D661</f>
        <v>142183</v>
      </c>
      <c r="E659" s="284">
        <f t="shared" si="34"/>
        <v>9325481</v>
      </c>
    </row>
    <row r="660" spans="1:6">
      <c r="A660" s="92" t="s">
        <v>170</v>
      </c>
      <c r="B660" s="285">
        <v>817115</v>
      </c>
      <c r="C660" s="318">
        <v>0</v>
      </c>
      <c r="D660" s="318">
        <v>136195</v>
      </c>
      <c r="E660" s="285">
        <f t="shared" si="34"/>
        <v>953310</v>
      </c>
    </row>
    <row r="661" spans="1:6">
      <c r="A661" s="93" t="s">
        <v>152</v>
      </c>
      <c r="B661" s="285"/>
      <c r="C661" s="318">
        <v>21930</v>
      </c>
      <c r="D661" s="318">
        <v>6000</v>
      </c>
      <c r="E661" s="285">
        <f t="shared" si="34"/>
        <v>27930</v>
      </c>
    </row>
    <row r="662" spans="1:6" s="286" customFormat="1">
      <c r="A662" s="93" t="s">
        <v>171</v>
      </c>
      <c r="B662" s="285">
        <f>B657-B660</f>
        <v>8321883</v>
      </c>
      <c r="C662" s="318">
        <f>C657-C660-C661</f>
        <v>22370</v>
      </c>
      <c r="D662" s="318">
        <f>D657-D660-D661</f>
        <v>-12</v>
      </c>
      <c r="E662" s="285">
        <f t="shared" si="34"/>
        <v>8344241</v>
      </c>
      <c r="F662" s="250"/>
    </row>
    <row r="663" spans="1:6">
      <c r="A663" s="293"/>
      <c r="B663" s="285"/>
      <c r="C663" s="280"/>
      <c r="D663" s="280"/>
      <c r="E663" s="285">
        <f t="shared" si="34"/>
        <v>0</v>
      </c>
    </row>
    <row r="664" spans="1:6" ht="15">
      <c r="A664" s="118" t="s">
        <v>224</v>
      </c>
      <c r="B664" s="319">
        <f>B665+B682+B704</f>
        <v>1227240</v>
      </c>
      <c r="C664" s="319">
        <f>C665+C682+C704</f>
        <v>0</v>
      </c>
      <c r="D664" s="319">
        <f>D665+D682+D704</f>
        <v>24970</v>
      </c>
      <c r="E664" s="319">
        <f t="shared" si="34"/>
        <v>1252210</v>
      </c>
    </row>
    <row r="665" spans="1:6">
      <c r="A665" s="119" t="s">
        <v>225</v>
      </c>
      <c r="B665" s="284">
        <f>B668+B672+B675+B679</f>
        <v>505830</v>
      </c>
      <c r="C665" s="284">
        <f>C668+C672+C675+C679</f>
        <v>0</v>
      </c>
      <c r="D665" s="284">
        <f>D668+D672+D675+D679</f>
        <v>-37000</v>
      </c>
      <c r="E665" s="284">
        <f t="shared" si="34"/>
        <v>468830</v>
      </c>
    </row>
    <row r="666" spans="1:6">
      <c r="A666" s="81" t="s">
        <v>173</v>
      </c>
      <c r="B666" s="289">
        <f>B676+B680</f>
        <v>27730</v>
      </c>
      <c r="C666" s="289">
        <f>C676+C680</f>
        <v>0</v>
      </c>
      <c r="D666" s="289">
        <f>D676+D680+D669</f>
        <v>-7000</v>
      </c>
      <c r="E666" s="289">
        <f t="shared" si="34"/>
        <v>20730</v>
      </c>
    </row>
    <row r="667" spans="1:6">
      <c r="A667" s="305" t="s">
        <v>179</v>
      </c>
      <c r="B667" s="289"/>
      <c r="C667" s="280"/>
      <c r="D667" s="280"/>
      <c r="E667" s="289">
        <f t="shared" si="34"/>
        <v>0</v>
      </c>
    </row>
    <row r="668" spans="1:6">
      <c r="A668" s="94" t="s">
        <v>226</v>
      </c>
      <c r="B668" s="71">
        <v>159850</v>
      </c>
      <c r="C668" s="280"/>
      <c r="D668" s="280">
        <v>-25000</v>
      </c>
      <c r="E668" s="71">
        <f t="shared" si="34"/>
        <v>134850</v>
      </c>
    </row>
    <row r="669" spans="1:6">
      <c r="A669" s="84" t="s">
        <v>173</v>
      </c>
      <c r="B669" s="71"/>
      <c r="C669" s="280"/>
      <c r="D669" s="301">
        <v>2000</v>
      </c>
      <c r="E669" s="71">
        <f t="shared" si="34"/>
        <v>2000</v>
      </c>
    </row>
    <row r="670" spans="1:6">
      <c r="A670" s="84"/>
      <c r="B670" s="71"/>
      <c r="C670" s="280"/>
      <c r="D670" s="301"/>
      <c r="E670" s="71">
        <f t="shared" si="34"/>
        <v>0</v>
      </c>
    </row>
    <row r="671" spans="1:6">
      <c r="A671" s="305" t="s">
        <v>179</v>
      </c>
      <c r="B671" s="289"/>
      <c r="C671" s="280"/>
      <c r="D671" s="280"/>
      <c r="E671" s="289">
        <f t="shared" si="34"/>
        <v>0</v>
      </c>
    </row>
    <row r="672" spans="1:6">
      <c r="A672" s="94" t="s">
        <v>82</v>
      </c>
      <c r="B672" s="71">
        <v>248000</v>
      </c>
      <c r="C672" s="280"/>
      <c r="D672" s="280"/>
      <c r="E672" s="71">
        <f t="shared" si="34"/>
        <v>248000</v>
      </c>
    </row>
    <row r="673" spans="1:5">
      <c r="A673" s="94"/>
      <c r="B673" s="71"/>
      <c r="C673" s="280"/>
      <c r="D673" s="280"/>
      <c r="E673" s="71">
        <f t="shared" si="34"/>
        <v>0</v>
      </c>
    </row>
    <row r="674" spans="1:5">
      <c r="A674" s="305" t="s">
        <v>179</v>
      </c>
      <c r="B674" s="289"/>
      <c r="C674" s="280"/>
      <c r="D674" s="280"/>
      <c r="E674" s="289">
        <f t="shared" si="34"/>
        <v>0</v>
      </c>
    </row>
    <row r="675" spans="1:5">
      <c r="A675" s="94" t="s">
        <v>83</v>
      </c>
      <c r="B675" s="71">
        <v>28900</v>
      </c>
      <c r="C675" s="280"/>
      <c r="D675" s="280">
        <v>-12000</v>
      </c>
      <c r="E675" s="71">
        <f t="shared" si="34"/>
        <v>16900</v>
      </c>
    </row>
    <row r="676" spans="1:5">
      <c r="A676" s="84" t="s">
        <v>173</v>
      </c>
      <c r="B676" s="289">
        <v>21730</v>
      </c>
      <c r="C676" s="301"/>
      <c r="D676" s="301">
        <v>-9000</v>
      </c>
      <c r="E676" s="289">
        <f t="shared" si="34"/>
        <v>12730</v>
      </c>
    </row>
    <row r="677" spans="1:5">
      <c r="A677" s="337"/>
      <c r="B677" s="289"/>
      <c r="C677" s="280"/>
      <c r="D677" s="280"/>
      <c r="E677" s="289">
        <f t="shared" si="34"/>
        <v>0</v>
      </c>
    </row>
    <row r="678" spans="1:5">
      <c r="A678" s="305" t="s">
        <v>179</v>
      </c>
      <c r="B678" s="289"/>
      <c r="C678" s="280"/>
      <c r="D678" s="280"/>
      <c r="E678" s="289">
        <f t="shared" si="34"/>
        <v>0</v>
      </c>
    </row>
    <row r="679" spans="1:5">
      <c r="A679" s="94" t="s">
        <v>365</v>
      </c>
      <c r="B679" s="71">
        <v>69080</v>
      </c>
      <c r="C679" s="280"/>
      <c r="D679" s="280"/>
      <c r="E679" s="71">
        <f t="shared" si="34"/>
        <v>69080</v>
      </c>
    </row>
    <row r="680" spans="1:5">
      <c r="A680" s="84" t="s">
        <v>173</v>
      </c>
      <c r="B680" s="289">
        <v>6000</v>
      </c>
      <c r="C680" s="301"/>
      <c r="D680" s="301"/>
      <c r="E680" s="289">
        <f t="shared" si="34"/>
        <v>6000</v>
      </c>
    </row>
    <row r="681" spans="1:5">
      <c r="A681" s="81"/>
      <c r="B681" s="289"/>
      <c r="C681" s="280"/>
      <c r="D681" s="280"/>
      <c r="E681" s="289">
        <f t="shared" si="34"/>
        <v>0</v>
      </c>
    </row>
    <row r="682" spans="1:5">
      <c r="A682" s="119" t="s">
        <v>227</v>
      </c>
      <c r="B682" s="605">
        <f>B685+B688+B691+B694+B698+B702</f>
        <v>711810</v>
      </c>
      <c r="C682" s="302">
        <f>C685+C688+C691+C694+C698+C702</f>
        <v>0</v>
      </c>
      <c r="D682" s="302">
        <f>D685+D688+D691+D694+D698+D702</f>
        <v>61970</v>
      </c>
      <c r="E682" s="605">
        <f t="shared" si="34"/>
        <v>773780</v>
      </c>
    </row>
    <row r="683" spans="1:5">
      <c r="A683" s="81" t="s">
        <v>173</v>
      </c>
      <c r="B683" s="289">
        <f>B695+B699</f>
        <v>15915</v>
      </c>
      <c r="C683" s="289">
        <f>C695+C699</f>
        <v>0</v>
      </c>
      <c r="D683" s="289">
        <f>D695+D699</f>
        <v>0</v>
      </c>
      <c r="E683" s="289">
        <f t="shared" si="34"/>
        <v>15915</v>
      </c>
    </row>
    <row r="684" spans="1:5">
      <c r="A684" s="305" t="s">
        <v>179</v>
      </c>
      <c r="B684" s="289"/>
      <c r="C684" s="280"/>
      <c r="D684" s="280"/>
      <c r="E684" s="289">
        <f t="shared" si="34"/>
        <v>0</v>
      </c>
    </row>
    <row r="685" spans="1:5">
      <c r="A685" s="94" t="s">
        <v>228</v>
      </c>
      <c r="B685" s="71">
        <v>48000</v>
      </c>
      <c r="C685" s="280"/>
      <c r="D685" s="280"/>
      <c r="E685" s="71">
        <f t="shared" si="34"/>
        <v>48000</v>
      </c>
    </row>
    <row r="686" spans="1:5">
      <c r="A686" s="81"/>
      <c r="B686" s="289"/>
      <c r="C686" s="280"/>
      <c r="D686" s="280"/>
      <c r="E686" s="289">
        <f t="shared" si="34"/>
        <v>0</v>
      </c>
    </row>
    <row r="687" spans="1:5">
      <c r="A687" s="305" t="s">
        <v>179</v>
      </c>
      <c r="B687" s="289"/>
      <c r="C687" s="280"/>
      <c r="D687" s="280"/>
      <c r="E687" s="289">
        <f t="shared" si="34"/>
        <v>0</v>
      </c>
    </row>
    <row r="688" spans="1:5">
      <c r="A688" s="94" t="s">
        <v>229</v>
      </c>
      <c r="B688" s="71">
        <v>218600</v>
      </c>
      <c r="C688" s="280"/>
      <c r="D688" s="280">
        <v>40000</v>
      </c>
      <c r="E688" s="71">
        <f t="shared" si="34"/>
        <v>258600</v>
      </c>
    </row>
    <row r="689" spans="1:5">
      <c r="A689" s="81"/>
      <c r="B689" s="289"/>
      <c r="C689" s="280"/>
      <c r="D689" s="280"/>
      <c r="E689" s="289">
        <f t="shared" si="34"/>
        <v>0</v>
      </c>
    </row>
    <row r="690" spans="1:5">
      <c r="A690" s="305" t="s">
        <v>179</v>
      </c>
      <c r="B690" s="289"/>
      <c r="C690" s="280"/>
      <c r="D690" s="280"/>
      <c r="E690" s="289">
        <f t="shared" si="34"/>
        <v>0</v>
      </c>
    </row>
    <row r="691" spans="1:5">
      <c r="A691" s="94" t="s">
        <v>230</v>
      </c>
      <c r="B691" s="71">
        <v>360410</v>
      </c>
      <c r="C691" s="280"/>
      <c r="D691" s="280"/>
      <c r="E691" s="71">
        <f t="shared" si="34"/>
        <v>360410</v>
      </c>
    </row>
    <row r="692" spans="1:5">
      <c r="A692" s="81"/>
      <c r="B692" s="289"/>
      <c r="C692" s="280"/>
      <c r="D692" s="280"/>
      <c r="E692" s="289">
        <f t="shared" si="34"/>
        <v>0</v>
      </c>
    </row>
    <row r="693" spans="1:5">
      <c r="A693" s="305" t="s">
        <v>179</v>
      </c>
      <c r="B693" s="289"/>
      <c r="C693" s="280"/>
      <c r="D693" s="280"/>
      <c r="E693" s="289">
        <f t="shared" si="34"/>
        <v>0</v>
      </c>
    </row>
    <row r="694" spans="1:5">
      <c r="A694" s="94" t="s">
        <v>231</v>
      </c>
      <c r="B694" s="71">
        <v>51600</v>
      </c>
      <c r="C694" s="280"/>
      <c r="D694" s="280">
        <v>19970</v>
      </c>
      <c r="E694" s="71">
        <f t="shared" si="34"/>
        <v>71570</v>
      </c>
    </row>
    <row r="695" spans="1:5">
      <c r="A695" s="84" t="s">
        <v>173</v>
      </c>
      <c r="B695" s="289">
        <v>13675</v>
      </c>
      <c r="C695" s="301"/>
      <c r="D695" s="301"/>
      <c r="E695" s="289">
        <f t="shared" si="34"/>
        <v>13675</v>
      </c>
    </row>
    <row r="696" spans="1:5">
      <c r="A696" s="120"/>
      <c r="B696" s="289"/>
      <c r="C696" s="280"/>
      <c r="D696" s="280"/>
      <c r="E696" s="289">
        <f t="shared" si="34"/>
        <v>0</v>
      </c>
    </row>
    <row r="697" spans="1:5">
      <c r="A697" s="305" t="s">
        <v>179</v>
      </c>
      <c r="B697" s="289"/>
      <c r="C697" s="280"/>
      <c r="D697" s="280"/>
      <c r="E697" s="289">
        <f t="shared" si="34"/>
        <v>0</v>
      </c>
    </row>
    <row r="698" spans="1:5" ht="25.5">
      <c r="A698" s="94" t="s">
        <v>232</v>
      </c>
      <c r="B698" s="71">
        <v>24000</v>
      </c>
      <c r="C698" s="280"/>
      <c r="D698" s="280"/>
      <c r="E698" s="71">
        <f t="shared" si="34"/>
        <v>24000</v>
      </c>
    </row>
    <row r="699" spans="1:5">
      <c r="A699" s="84" t="s">
        <v>173</v>
      </c>
      <c r="B699" s="289">
        <v>2240</v>
      </c>
      <c r="C699" s="301"/>
      <c r="D699" s="301"/>
      <c r="E699" s="289">
        <f t="shared" si="34"/>
        <v>2240</v>
      </c>
    </row>
    <row r="700" spans="1:5">
      <c r="A700" s="81"/>
      <c r="B700" s="289"/>
      <c r="C700" s="280"/>
      <c r="D700" s="280"/>
      <c r="E700" s="289">
        <f t="shared" si="34"/>
        <v>0</v>
      </c>
    </row>
    <row r="701" spans="1:5">
      <c r="A701" s="305" t="s">
        <v>179</v>
      </c>
      <c r="B701" s="289"/>
      <c r="C701" s="280"/>
      <c r="D701" s="280"/>
      <c r="E701" s="289">
        <f t="shared" si="34"/>
        <v>0</v>
      </c>
    </row>
    <row r="702" spans="1:5">
      <c r="A702" s="94" t="s">
        <v>233</v>
      </c>
      <c r="B702" s="71">
        <v>9200</v>
      </c>
      <c r="C702" s="280"/>
      <c r="D702" s="280">
        <v>2000</v>
      </c>
      <c r="E702" s="71">
        <f t="shared" si="34"/>
        <v>11200</v>
      </c>
    </row>
    <row r="703" spans="1:5">
      <c r="A703" s="337"/>
      <c r="B703" s="289"/>
      <c r="C703" s="280"/>
      <c r="D703" s="280"/>
      <c r="E703" s="289">
        <f t="shared" si="34"/>
        <v>0</v>
      </c>
    </row>
    <row r="704" spans="1:5">
      <c r="A704" s="119" t="s">
        <v>84</v>
      </c>
      <c r="B704" s="284">
        <f>B707</f>
        <v>9600</v>
      </c>
      <c r="C704" s="284">
        <f t="shared" ref="C704:C705" si="35">C707</f>
        <v>0</v>
      </c>
      <c r="D704" s="284"/>
      <c r="E704" s="284">
        <f t="shared" si="34"/>
        <v>9600</v>
      </c>
    </row>
    <row r="705" spans="1:5">
      <c r="A705" s="81" t="s">
        <v>173</v>
      </c>
      <c r="B705" s="289">
        <f>B708</f>
        <v>656</v>
      </c>
      <c r="C705" s="289">
        <f t="shared" si="35"/>
        <v>0</v>
      </c>
      <c r="D705" s="289"/>
      <c r="E705" s="289">
        <f t="shared" si="34"/>
        <v>656</v>
      </c>
    </row>
    <row r="706" spans="1:5">
      <c r="A706" s="305" t="s">
        <v>179</v>
      </c>
      <c r="B706" s="289"/>
      <c r="C706" s="280"/>
      <c r="D706" s="280"/>
      <c r="E706" s="289">
        <f t="shared" si="34"/>
        <v>0</v>
      </c>
    </row>
    <row r="707" spans="1:5">
      <c r="A707" s="94" t="s">
        <v>85</v>
      </c>
      <c r="B707" s="71">
        <v>9600</v>
      </c>
      <c r="C707" s="280"/>
      <c r="D707" s="280"/>
      <c r="E707" s="71">
        <f t="shared" si="34"/>
        <v>9600</v>
      </c>
    </row>
    <row r="708" spans="1:5">
      <c r="A708" s="84" t="s">
        <v>173</v>
      </c>
      <c r="B708" s="289">
        <v>656</v>
      </c>
      <c r="C708" s="280"/>
      <c r="D708" s="280"/>
      <c r="E708" s="289">
        <f t="shared" si="34"/>
        <v>656</v>
      </c>
    </row>
    <row r="709" spans="1:5">
      <c r="A709" s="311"/>
      <c r="B709" s="289"/>
      <c r="C709" s="280"/>
      <c r="D709" s="280"/>
      <c r="E709" s="289">
        <f t="shared" si="34"/>
        <v>0</v>
      </c>
    </row>
    <row r="710" spans="1:5" ht="15">
      <c r="A710" s="118" t="s">
        <v>218</v>
      </c>
      <c r="B710" s="284">
        <f>B711</f>
        <v>738690</v>
      </c>
      <c r="C710" s="284">
        <f t="shared" ref="C710:D710" si="36">C711</f>
        <v>0</v>
      </c>
      <c r="D710" s="284">
        <f t="shared" si="36"/>
        <v>44415</v>
      </c>
      <c r="E710" s="284">
        <f t="shared" si="34"/>
        <v>783105</v>
      </c>
    </row>
    <row r="711" spans="1:5">
      <c r="A711" s="119" t="s">
        <v>410</v>
      </c>
      <c r="B711" s="284">
        <f>B714</f>
        <v>738690</v>
      </c>
      <c r="C711" s="284">
        <f t="shared" ref="C711:C712" si="37">C714</f>
        <v>0</v>
      </c>
      <c r="D711" s="284">
        <f>D714</f>
        <v>44415</v>
      </c>
      <c r="E711" s="284">
        <f t="shared" ref="E711:E774" si="38">SUM(B711:D711)</f>
        <v>783105</v>
      </c>
    </row>
    <row r="712" spans="1:5">
      <c r="A712" s="81" t="s">
        <v>173</v>
      </c>
      <c r="B712" s="289">
        <f>B715</f>
        <v>266364</v>
      </c>
      <c r="C712" s="289">
        <f t="shared" si="37"/>
        <v>0</v>
      </c>
      <c r="D712" s="289">
        <f>D715</f>
        <v>0</v>
      </c>
      <c r="E712" s="289">
        <f t="shared" si="38"/>
        <v>266364</v>
      </c>
    </row>
    <row r="713" spans="1:5">
      <c r="A713" s="305" t="s">
        <v>179</v>
      </c>
      <c r="B713" s="289"/>
      <c r="C713" s="280"/>
      <c r="D713" s="280"/>
      <c r="E713" s="289">
        <f t="shared" si="38"/>
        <v>0</v>
      </c>
    </row>
    <row r="714" spans="1:5">
      <c r="A714" s="94" t="s">
        <v>502</v>
      </c>
      <c r="B714" s="71">
        <v>738690</v>
      </c>
      <c r="C714" s="280"/>
      <c r="D714" s="280">
        <v>44415</v>
      </c>
      <c r="E714" s="71">
        <f t="shared" si="38"/>
        <v>783105</v>
      </c>
    </row>
    <row r="715" spans="1:5">
      <c r="A715" s="84" t="s">
        <v>173</v>
      </c>
      <c r="B715" s="289">
        <v>266364</v>
      </c>
      <c r="C715" s="318"/>
      <c r="D715" s="318">
        <v>0</v>
      </c>
      <c r="E715" s="289">
        <f t="shared" si="38"/>
        <v>266364</v>
      </c>
    </row>
    <row r="716" spans="1:5">
      <c r="A716" s="104" t="s">
        <v>445</v>
      </c>
      <c r="B716" s="289">
        <v>206855</v>
      </c>
      <c r="C716" s="318"/>
      <c r="D716" s="318"/>
      <c r="E716" s="289">
        <f t="shared" si="38"/>
        <v>206855</v>
      </c>
    </row>
    <row r="717" spans="1:5">
      <c r="A717" s="311"/>
      <c r="B717" s="289"/>
      <c r="C717" s="280"/>
      <c r="D717" s="280"/>
      <c r="E717" s="289">
        <f t="shared" si="38"/>
        <v>0</v>
      </c>
    </row>
    <row r="718" spans="1:5">
      <c r="A718" s="90" t="s">
        <v>172</v>
      </c>
      <c r="B718" s="284">
        <f>B720+B723+B728+B731+B733+B735+B737+B739+B741++B743+B745+B747</f>
        <v>7173068</v>
      </c>
      <c r="C718" s="284">
        <f>C720+C723+C728+C731+C733+C735+C737+C739+C741++C743+C745+C747+C749+C751</f>
        <v>44300</v>
      </c>
      <c r="D718" s="284">
        <f>D720+D723+D728+D731+D733+D735+D737+D739+D741++D743+D745+D747+D749+D751+D754</f>
        <v>72798</v>
      </c>
      <c r="E718" s="284">
        <f t="shared" si="38"/>
        <v>7290166</v>
      </c>
    </row>
    <row r="719" spans="1:5">
      <c r="A719" s="337"/>
      <c r="B719" s="284"/>
      <c r="C719" s="280"/>
      <c r="D719" s="280"/>
      <c r="E719" s="284">
        <f t="shared" si="38"/>
        <v>0</v>
      </c>
    </row>
    <row r="720" spans="1:5">
      <c r="A720" s="82" t="s">
        <v>234</v>
      </c>
      <c r="B720" s="288">
        <f>1877410+12781+7827</f>
        <v>1898018</v>
      </c>
      <c r="C720" s="280"/>
      <c r="D720" s="280">
        <v>-12</v>
      </c>
      <c r="E720" s="288">
        <f t="shared" si="38"/>
        <v>1898006</v>
      </c>
    </row>
    <row r="721" spans="1:5">
      <c r="A721" s="78" t="s">
        <v>173</v>
      </c>
      <c r="B721" s="289">
        <f>1249384+9552+5850</f>
        <v>1264786</v>
      </c>
      <c r="C721" s="301"/>
      <c r="D721" s="301">
        <v>-9</v>
      </c>
      <c r="E721" s="289">
        <f t="shared" si="38"/>
        <v>1264777</v>
      </c>
    </row>
    <row r="722" spans="1:5">
      <c r="A722" s="78"/>
      <c r="B722" s="289"/>
      <c r="C722" s="280"/>
      <c r="D722" s="280"/>
      <c r="E722" s="289">
        <f t="shared" si="38"/>
        <v>0</v>
      </c>
    </row>
    <row r="723" spans="1:5">
      <c r="A723" s="77" t="s">
        <v>699</v>
      </c>
      <c r="B723" s="288">
        <f>B724+B725+B726</f>
        <v>269100</v>
      </c>
      <c r="C723" s="288">
        <f t="shared" ref="C723:D723" si="39">C724+C725+C726</f>
        <v>0</v>
      </c>
      <c r="D723" s="288">
        <f t="shared" si="39"/>
        <v>25000</v>
      </c>
      <c r="E723" s="288">
        <f t="shared" si="38"/>
        <v>294100</v>
      </c>
    </row>
    <row r="724" spans="1:5">
      <c r="A724" s="121" t="s">
        <v>86</v>
      </c>
      <c r="B724" s="315">
        <v>145520</v>
      </c>
      <c r="C724" s="324"/>
      <c r="D724" s="324">
        <v>50000</v>
      </c>
      <c r="E724" s="315">
        <f t="shared" si="38"/>
        <v>195520</v>
      </c>
    </row>
    <row r="725" spans="1:5">
      <c r="A725" s="121" t="s">
        <v>235</v>
      </c>
      <c r="B725" s="315">
        <v>44670</v>
      </c>
      <c r="C725" s="324"/>
      <c r="D725" s="324">
        <v>-25000</v>
      </c>
      <c r="E725" s="315">
        <f t="shared" si="38"/>
        <v>19670</v>
      </c>
    </row>
    <row r="726" spans="1:5">
      <c r="A726" s="121" t="s">
        <v>236</v>
      </c>
      <c r="B726" s="315">
        <v>78910</v>
      </c>
      <c r="C726" s="324"/>
      <c r="D726" s="324"/>
      <c r="E726" s="315">
        <f t="shared" si="38"/>
        <v>78910</v>
      </c>
    </row>
    <row r="727" spans="1:5">
      <c r="A727" s="121"/>
      <c r="B727" s="315"/>
      <c r="C727" s="280"/>
      <c r="D727" s="280"/>
      <c r="E727" s="315">
        <f t="shared" si="38"/>
        <v>0</v>
      </c>
    </row>
    <row r="728" spans="1:5">
      <c r="A728" s="82" t="s">
        <v>87</v>
      </c>
      <c r="B728" s="288">
        <v>300000</v>
      </c>
      <c r="C728" s="280"/>
      <c r="D728" s="280">
        <v>12000</v>
      </c>
      <c r="E728" s="288">
        <f t="shared" si="38"/>
        <v>312000</v>
      </c>
    </row>
    <row r="729" spans="1:5">
      <c r="A729" s="78" t="s">
        <v>173</v>
      </c>
      <c r="B729" s="289">
        <v>198055</v>
      </c>
      <c r="C729" s="301"/>
      <c r="D729" s="301">
        <v>9000</v>
      </c>
      <c r="E729" s="289">
        <f t="shared" si="38"/>
        <v>207055</v>
      </c>
    </row>
    <row r="730" spans="1:5">
      <c r="A730" s="78"/>
      <c r="B730" s="289"/>
      <c r="C730" s="280"/>
      <c r="D730" s="280"/>
      <c r="E730" s="289">
        <f t="shared" si="38"/>
        <v>0</v>
      </c>
    </row>
    <row r="731" spans="1:5">
      <c r="A731" s="77" t="s">
        <v>499</v>
      </c>
      <c r="B731" s="288">
        <v>562380</v>
      </c>
      <c r="C731" s="280"/>
      <c r="D731" s="306">
        <v>25000</v>
      </c>
      <c r="E731" s="288">
        <f t="shared" si="38"/>
        <v>587380</v>
      </c>
    </row>
    <row r="732" spans="1:5">
      <c r="A732" s="122"/>
      <c r="B732" s="288"/>
      <c r="C732" s="280"/>
      <c r="D732" s="280"/>
      <c r="E732" s="288">
        <f t="shared" si="38"/>
        <v>0</v>
      </c>
    </row>
    <row r="733" spans="1:5">
      <c r="A733" s="82" t="s">
        <v>88</v>
      </c>
      <c r="B733" s="288">
        <v>190000</v>
      </c>
      <c r="C733" s="280"/>
      <c r="D733" s="280"/>
      <c r="E733" s="288">
        <f t="shared" si="38"/>
        <v>190000</v>
      </c>
    </row>
    <row r="734" spans="1:5">
      <c r="A734" s="82"/>
      <c r="B734" s="288"/>
      <c r="C734" s="280"/>
      <c r="D734" s="280"/>
      <c r="E734" s="288">
        <f t="shared" si="38"/>
        <v>0</v>
      </c>
    </row>
    <row r="735" spans="1:5">
      <c r="A735" s="82" t="s">
        <v>89</v>
      </c>
      <c r="B735" s="288">
        <f>3380000+165000</f>
        <v>3545000</v>
      </c>
      <c r="C735" s="280">
        <v>18500</v>
      </c>
      <c r="D735" s="280"/>
      <c r="E735" s="288">
        <f t="shared" si="38"/>
        <v>3563500</v>
      </c>
    </row>
    <row r="736" spans="1:5">
      <c r="A736" s="291"/>
      <c r="B736" s="288"/>
      <c r="C736" s="280"/>
      <c r="D736" s="280"/>
      <c r="E736" s="288">
        <f t="shared" si="38"/>
        <v>0</v>
      </c>
    </row>
    <row r="737" spans="1:5">
      <c r="A737" s="77" t="s">
        <v>90</v>
      </c>
      <c r="B737" s="288">
        <v>20570</v>
      </c>
      <c r="C737" s="280"/>
      <c r="D737" s="280"/>
      <c r="E737" s="288">
        <f t="shared" si="38"/>
        <v>20570</v>
      </c>
    </row>
    <row r="738" spans="1:5">
      <c r="A738" s="77"/>
      <c r="B738" s="288"/>
      <c r="C738" s="280"/>
      <c r="D738" s="280"/>
      <c r="E738" s="288">
        <f t="shared" si="38"/>
        <v>0</v>
      </c>
    </row>
    <row r="739" spans="1:5">
      <c r="A739" s="77" t="s">
        <v>662</v>
      </c>
      <c r="B739" s="308">
        <v>18000</v>
      </c>
      <c r="C739" s="280"/>
      <c r="D739" s="280"/>
      <c r="E739" s="308">
        <f t="shared" si="38"/>
        <v>18000</v>
      </c>
    </row>
    <row r="740" spans="1:5">
      <c r="A740" s="77"/>
      <c r="B740" s="288"/>
      <c r="C740" s="280"/>
      <c r="D740" s="280"/>
      <c r="E740" s="288">
        <f t="shared" si="38"/>
        <v>0</v>
      </c>
    </row>
    <row r="741" spans="1:5">
      <c r="A741" s="77" t="s">
        <v>600</v>
      </c>
      <c r="B741" s="308">
        <f>25000-5000</f>
        <v>20000</v>
      </c>
      <c r="C741" s="280"/>
      <c r="D741" s="280"/>
      <c r="E741" s="308">
        <f t="shared" si="38"/>
        <v>20000</v>
      </c>
    </row>
    <row r="742" spans="1:5">
      <c r="A742" s="77"/>
      <c r="B742" s="308"/>
      <c r="C742" s="280"/>
      <c r="D742" s="280"/>
      <c r="E742" s="308">
        <f t="shared" si="38"/>
        <v>0</v>
      </c>
    </row>
    <row r="743" spans="1:5">
      <c r="A743" s="77" t="s">
        <v>601</v>
      </c>
      <c r="B743" s="308">
        <f>40000</f>
        <v>40000</v>
      </c>
      <c r="C743" s="280"/>
      <c r="D743" s="280"/>
      <c r="E743" s="308">
        <f t="shared" si="38"/>
        <v>40000</v>
      </c>
    </row>
    <row r="744" spans="1:5">
      <c r="A744" s="77"/>
      <c r="B744" s="308"/>
      <c r="C744" s="280"/>
      <c r="D744" s="280"/>
      <c r="E744" s="308">
        <f t="shared" si="38"/>
        <v>0</v>
      </c>
    </row>
    <row r="745" spans="1:5">
      <c r="A745" s="77" t="s">
        <v>602</v>
      </c>
      <c r="B745" s="308">
        <v>10000</v>
      </c>
      <c r="C745" s="280"/>
      <c r="D745" s="280"/>
      <c r="E745" s="308">
        <f t="shared" si="38"/>
        <v>10000</v>
      </c>
    </row>
    <row r="746" spans="1:5">
      <c r="A746" s="77"/>
      <c r="B746" s="308"/>
      <c r="C746" s="280"/>
      <c r="D746" s="280"/>
      <c r="E746" s="308">
        <f t="shared" si="38"/>
        <v>0</v>
      </c>
    </row>
    <row r="747" spans="1:5">
      <c r="A747" s="77" t="s">
        <v>673</v>
      </c>
      <c r="B747" s="308">
        <v>300000</v>
      </c>
      <c r="C747" s="280">
        <v>-300000</v>
      </c>
      <c r="D747" s="280"/>
      <c r="E747" s="308">
        <f t="shared" si="38"/>
        <v>0</v>
      </c>
    </row>
    <row r="748" spans="1:5">
      <c r="A748" s="77"/>
      <c r="B748" s="308"/>
      <c r="C748" s="280"/>
      <c r="D748" s="280"/>
      <c r="E748" s="308">
        <f t="shared" si="38"/>
        <v>0</v>
      </c>
    </row>
    <row r="749" spans="1:5">
      <c r="A749" s="77" t="s">
        <v>755</v>
      </c>
      <c r="B749" s="308"/>
      <c r="C749" s="280">
        <v>300000</v>
      </c>
      <c r="D749" s="280"/>
      <c r="E749" s="308">
        <f t="shared" si="38"/>
        <v>300000</v>
      </c>
    </row>
    <row r="750" spans="1:5">
      <c r="A750" s="77"/>
      <c r="B750" s="308"/>
      <c r="C750" s="280"/>
      <c r="D750" s="280"/>
      <c r="E750" s="308">
        <f t="shared" si="38"/>
        <v>0</v>
      </c>
    </row>
    <row r="751" spans="1:5" ht="38.25">
      <c r="A751" s="79" t="s">
        <v>756</v>
      </c>
      <c r="B751" s="308"/>
      <c r="C751" s="306">
        <v>25800</v>
      </c>
      <c r="D751" s="306"/>
      <c r="E751" s="308">
        <f t="shared" si="38"/>
        <v>25800</v>
      </c>
    </row>
    <row r="752" spans="1:5">
      <c r="A752" s="88" t="s">
        <v>184</v>
      </c>
      <c r="B752" s="308"/>
      <c r="C752" s="280">
        <v>21930</v>
      </c>
      <c r="E752" s="308">
        <f t="shared" si="38"/>
        <v>21930</v>
      </c>
    </row>
    <row r="753" spans="1:6">
      <c r="A753" s="88"/>
      <c r="B753" s="308"/>
      <c r="C753" s="280"/>
      <c r="E753" s="308">
        <f t="shared" si="38"/>
        <v>0</v>
      </c>
    </row>
    <row r="754" spans="1:6" ht="25.5">
      <c r="A754" s="79" t="s">
        <v>1088</v>
      </c>
      <c r="B754" s="308"/>
      <c r="C754" s="280"/>
      <c r="D754" s="306">
        <v>10810</v>
      </c>
      <c r="E754" s="308">
        <f t="shared" si="38"/>
        <v>10810</v>
      </c>
    </row>
    <row r="755" spans="1:6">
      <c r="A755" s="278"/>
      <c r="B755" s="308"/>
      <c r="C755" s="280"/>
      <c r="D755" s="280"/>
      <c r="E755" s="308">
        <f t="shared" si="38"/>
        <v>0</v>
      </c>
    </row>
    <row r="756" spans="1:6">
      <c r="A756" s="88" t="s">
        <v>184</v>
      </c>
      <c r="B756" s="308"/>
      <c r="D756" s="301">
        <v>6000</v>
      </c>
      <c r="E756" s="308">
        <f t="shared" si="38"/>
        <v>6000</v>
      </c>
    </row>
    <row r="757" spans="1:6">
      <c r="A757" s="88"/>
      <c r="B757" s="308"/>
      <c r="D757" s="280"/>
      <c r="E757" s="308">
        <f t="shared" si="38"/>
        <v>0</v>
      </c>
    </row>
    <row r="758" spans="1:6">
      <c r="A758" s="77"/>
      <c r="B758" s="308"/>
      <c r="D758" s="280"/>
      <c r="E758" s="308">
        <f t="shared" si="38"/>
        <v>0</v>
      </c>
    </row>
    <row r="759" spans="1:6" ht="15.75">
      <c r="A759" s="95" t="s">
        <v>155</v>
      </c>
      <c r="B759" s="147"/>
      <c r="E759" s="147">
        <f t="shared" si="38"/>
        <v>0</v>
      </c>
    </row>
    <row r="760" spans="1:6">
      <c r="A760" s="90"/>
      <c r="B760" s="147"/>
      <c r="E760" s="147">
        <f t="shared" si="38"/>
        <v>0</v>
      </c>
    </row>
    <row r="761" spans="1:6" s="286" customFormat="1">
      <c r="A761" s="90" t="s">
        <v>168</v>
      </c>
      <c r="B761" s="147">
        <f>SUM(B768,B784)</f>
        <v>69365092</v>
      </c>
      <c r="C761" s="177">
        <f>SUM(C768,C784)</f>
        <v>536664</v>
      </c>
      <c r="D761" s="177">
        <f>SUM(D768,D784)</f>
        <v>172720</v>
      </c>
      <c r="E761" s="147">
        <f t="shared" si="38"/>
        <v>70074476</v>
      </c>
      <c r="F761" s="250"/>
    </row>
    <row r="762" spans="1:6">
      <c r="A762" s="67" t="s">
        <v>185</v>
      </c>
      <c r="B762" s="149">
        <v>1600000</v>
      </c>
      <c r="C762" s="149"/>
      <c r="D762" s="149"/>
      <c r="E762" s="149">
        <f t="shared" si="38"/>
        <v>1600000</v>
      </c>
    </row>
    <row r="763" spans="1:6">
      <c r="A763" s="91" t="s">
        <v>169</v>
      </c>
      <c r="B763" s="147">
        <f>SUM(B764:B766)</f>
        <v>69365092</v>
      </c>
      <c r="C763" s="177">
        <f>SUM(C764:C766)</f>
        <v>536664</v>
      </c>
      <c r="D763" s="177">
        <f>SUM(D764:D766)</f>
        <v>172720</v>
      </c>
      <c r="E763" s="147">
        <f t="shared" si="38"/>
        <v>70074476</v>
      </c>
    </row>
    <row r="764" spans="1:6">
      <c r="A764" s="92" t="s">
        <v>170</v>
      </c>
      <c r="B764" s="149">
        <v>1267705</v>
      </c>
      <c r="C764" s="149">
        <v>-8053</v>
      </c>
      <c r="D764" s="149">
        <v>-5500</v>
      </c>
      <c r="E764" s="149">
        <f t="shared" si="38"/>
        <v>1254152</v>
      </c>
    </row>
    <row r="765" spans="1:6">
      <c r="A765" s="93" t="s">
        <v>152</v>
      </c>
      <c r="B765" s="149">
        <v>20000</v>
      </c>
      <c r="C765" s="149">
        <v>36650</v>
      </c>
      <c r="D765" s="149">
        <v>10200</v>
      </c>
      <c r="E765" s="149">
        <f t="shared" si="38"/>
        <v>66850</v>
      </c>
    </row>
    <row r="766" spans="1:6">
      <c r="A766" s="93" t="s">
        <v>171</v>
      </c>
      <c r="B766" s="149">
        <f>B761-B764-B765</f>
        <v>68077387</v>
      </c>
      <c r="C766" s="152">
        <f>C761-C764-C765</f>
        <v>508067</v>
      </c>
      <c r="D766" s="152">
        <f>D761-D764-D765</f>
        <v>168020</v>
      </c>
      <c r="E766" s="149">
        <f t="shared" si="38"/>
        <v>68753474</v>
      </c>
    </row>
    <row r="767" spans="1:6">
      <c r="A767" s="178"/>
      <c r="B767" s="149"/>
      <c r="C767" s="152"/>
      <c r="D767" s="152"/>
      <c r="E767" s="149">
        <f t="shared" si="38"/>
        <v>0</v>
      </c>
    </row>
    <row r="768" spans="1:6" ht="15">
      <c r="A768" s="118" t="s">
        <v>237</v>
      </c>
      <c r="B768" s="154">
        <f>SUM(B769,B778,B782)</f>
        <v>67188709</v>
      </c>
      <c r="C768" s="179">
        <f>SUM(C769,C778,C782)</f>
        <v>491947</v>
      </c>
      <c r="D768" s="179">
        <f>SUM(D769,D778,D782)</f>
        <v>135800</v>
      </c>
      <c r="E768" s="154">
        <f t="shared" si="38"/>
        <v>67816456</v>
      </c>
    </row>
    <row r="769" spans="1:5">
      <c r="A769" s="298" t="s">
        <v>238</v>
      </c>
      <c r="B769" s="147">
        <f>SUM(B771,B774,B776)</f>
        <v>64263409</v>
      </c>
      <c r="C769" s="177">
        <f>SUM(C771,C774,C776)</f>
        <v>500000</v>
      </c>
      <c r="D769" s="177">
        <f>SUM(D771,D774,D776)</f>
        <v>135800</v>
      </c>
      <c r="E769" s="147">
        <f t="shared" si="38"/>
        <v>64899209</v>
      </c>
    </row>
    <row r="770" spans="1:5">
      <c r="A770" s="305" t="s">
        <v>179</v>
      </c>
      <c r="B770" s="149"/>
      <c r="C770" s="152"/>
      <c r="D770" s="152"/>
      <c r="E770" s="149">
        <f t="shared" si="38"/>
        <v>0</v>
      </c>
    </row>
    <row r="771" spans="1:5">
      <c r="A771" s="94" t="s">
        <v>1080</v>
      </c>
      <c r="B771" s="71">
        <v>62881732</v>
      </c>
      <c r="C771" s="150">
        <v>500000</v>
      </c>
      <c r="D771" s="150">
        <v>163000</v>
      </c>
      <c r="E771" s="71">
        <f t="shared" si="38"/>
        <v>63544732</v>
      </c>
    </row>
    <row r="772" spans="1:5">
      <c r="A772" s="94"/>
      <c r="B772" s="71"/>
      <c r="C772" s="150"/>
      <c r="D772" s="150"/>
      <c r="E772" s="71">
        <f t="shared" si="38"/>
        <v>0</v>
      </c>
    </row>
    <row r="773" spans="1:5">
      <c r="A773" s="305" t="s">
        <v>179</v>
      </c>
      <c r="B773" s="149"/>
      <c r="C773" s="152"/>
      <c r="D773" s="152"/>
      <c r="E773" s="149">
        <f t="shared" si="38"/>
        <v>0</v>
      </c>
    </row>
    <row r="774" spans="1:5">
      <c r="A774" s="94" t="s">
        <v>239</v>
      </c>
      <c r="B774" s="71">
        <v>1180000</v>
      </c>
      <c r="C774" s="150"/>
      <c r="D774" s="150"/>
      <c r="E774" s="71">
        <f t="shared" si="38"/>
        <v>1180000</v>
      </c>
    </row>
    <row r="775" spans="1:5">
      <c r="A775" s="136"/>
      <c r="B775" s="616"/>
      <c r="C775" s="338"/>
      <c r="D775" s="338"/>
      <c r="E775" s="616">
        <f t="shared" ref="E775:E838" si="40">SUM(B775:D775)</f>
        <v>0</v>
      </c>
    </row>
    <row r="776" spans="1:5">
      <c r="A776" s="94" t="s">
        <v>241</v>
      </c>
      <c r="B776" s="71">
        <f>180750+20927</f>
        <v>201677</v>
      </c>
      <c r="C776" s="150"/>
      <c r="D776" s="150">
        <v>-27200</v>
      </c>
      <c r="E776" s="71">
        <f t="shared" si="40"/>
        <v>174477</v>
      </c>
    </row>
    <row r="777" spans="1:5">
      <c r="A777" s="157"/>
      <c r="B777" s="149"/>
      <c r="C777" s="152"/>
      <c r="D777" s="152"/>
      <c r="E777" s="149">
        <f t="shared" si="40"/>
        <v>0</v>
      </c>
    </row>
    <row r="778" spans="1:5">
      <c r="A778" s="298" t="s">
        <v>531</v>
      </c>
      <c r="B778" s="147">
        <v>1532600</v>
      </c>
      <c r="C778" s="177"/>
      <c r="D778" s="177"/>
      <c r="E778" s="147">
        <f t="shared" si="40"/>
        <v>1532600</v>
      </c>
    </row>
    <row r="779" spans="1:5">
      <c r="A779" s="298"/>
      <c r="B779" s="147"/>
      <c r="C779" s="177"/>
      <c r="D779" s="177"/>
      <c r="E779" s="147">
        <f t="shared" si="40"/>
        <v>0</v>
      </c>
    </row>
    <row r="780" spans="1:5" ht="33.75">
      <c r="A780" s="222" t="s">
        <v>537</v>
      </c>
      <c r="B780" s="148"/>
      <c r="C780" s="180"/>
      <c r="D780" s="180"/>
      <c r="E780" s="147">
        <f t="shared" si="40"/>
        <v>0</v>
      </c>
    </row>
    <row r="781" spans="1:5">
      <c r="A781" s="222"/>
      <c r="B781" s="148"/>
      <c r="C781" s="180"/>
      <c r="D781" s="180"/>
      <c r="E781" s="147">
        <f t="shared" si="40"/>
        <v>0</v>
      </c>
    </row>
    <row r="782" spans="1:5">
      <c r="A782" s="298" t="s">
        <v>242</v>
      </c>
      <c r="B782" s="147">
        <f>1217700+175000</f>
        <v>1392700</v>
      </c>
      <c r="C782" s="177">
        <v>-8053</v>
      </c>
      <c r="D782" s="177"/>
      <c r="E782" s="147">
        <f t="shared" si="40"/>
        <v>1384647</v>
      </c>
    </row>
    <row r="783" spans="1:5">
      <c r="A783" s="135"/>
      <c r="B783" s="148"/>
      <c r="C783" s="180"/>
      <c r="D783" s="180"/>
      <c r="E783" s="148">
        <f t="shared" si="40"/>
        <v>0</v>
      </c>
    </row>
    <row r="784" spans="1:5">
      <c r="A784" s="90" t="s">
        <v>172</v>
      </c>
      <c r="B784" s="147">
        <f>SUM(B786,B789,B794,B798,B803,B832,B834,B808,B813,B817)</f>
        <v>2176383</v>
      </c>
      <c r="C784" s="177">
        <f t="shared" ref="C784" si="41">SUM(C786,C789,C794,C798,C803,C832,C834,C808,C813,C817)</f>
        <v>44717</v>
      </c>
      <c r="D784" s="177">
        <f>SUM(D786,D789,D794,D798,D803,D832,D834,D808,D813,D817,D822,D827)</f>
        <v>36920</v>
      </c>
      <c r="E784" s="147">
        <f t="shared" si="40"/>
        <v>2258020</v>
      </c>
    </row>
    <row r="785" spans="1:5">
      <c r="A785" s="90"/>
      <c r="B785" s="149"/>
      <c r="E785" s="149">
        <f t="shared" si="40"/>
        <v>0</v>
      </c>
    </row>
    <row r="786" spans="1:5">
      <c r="A786" s="77" t="s">
        <v>709</v>
      </c>
      <c r="B786" s="148">
        <f>1488721+11817+2783-20927</f>
        <v>1482394</v>
      </c>
      <c r="D786" s="71">
        <f>-121-4100+10648-2728</f>
        <v>3699</v>
      </c>
      <c r="E786" s="151">
        <f t="shared" si="40"/>
        <v>1486093</v>
      </c>
    </row>
    <row r="787" spans="1:5">
      <c r="A787" s="78" t="s">
        <v>173</v>
      </c>
      <c r="B787" s="100">
        <f>937716+8832+2080</f>
        <v>948628</v>
      </c>
      <c r="D787" s="87">
        <f>7959-2039</f>
        <v>5920</v>
      </c>
      <c r="E787" s="100">
        <f t="shared" si="40"/>
        <v>954548</v>
      </c>
    </row>
    <row r="788" spans="1:5">
      <c r="A788" s="122"/>
      <c r="B788" s="149"/>
      <c r="D788" s="99"/>
      <c r="E788" s="149">
        <f t="shared" si="40"/>
        <v>0</v>
      </c>
    </row>
    <row r="789" spans="1:5">
      <c r="A789" s="291" t="s">
        <v>422</v>
      </c>
      <c r="B789" s="151">
        <f>SUM(B790:B792)</f>
        <v>471650</v>
      </c>
      <c r="D789" s="288">
        <f>SUM(D790:D790)</f>
        <v>17000</v>
      </c>
      <c r="E789" s="151">
        <f t="shared" si="40"/>
        <v>488650</v>
      </c>
    </row>
    <row r="790" spans="1:5">
      <c r="A790" s="107" t="s">
        <v>430</v>
      </c>
      <c r="B790" s="156">
        <v>257400</v>
      </c>
      <c r="D790" s="155">
        <v>17000</v>
      </c>
      <c r="E790" s="156">
        <f t="shared" si="40"/>
        <v>274400</v>
      </c>
    </row>
    <row r="791" spans="1:5">
      <c r="A791" s="181" t="s">
        <v>243</v>
      </c>
      <c r="B791" s="156">
        <v>176250</v>
      </c>
      <c r="E791" s="156">
        <f t="shared" si="40"/>
        <v>176250</v>
      </c>
    </row>
    <row r="792" spans="1:5">
      <c r="A792" s="181" t="s">
        <v>244</v>
      </c>
      <c r="B792" s="156">
        <v>38000</v>
      </c>
      <c r="E792" s="156">
        <f t="shared" si="40"/>
        <v>38000</v>
      </c>
    </row>
    <row r="793" spans="1:5">
      <c r="A793" s="293"/>
      <c r="B793" s="288"/>
      <c r="E793" s="288">
        <f t="shared" si="40"/>
        <v>0</v>
      </c>
    </row>
    <row r="794" spans="1:5">
      <c r="A794" s="82" t="s">
        <v>245</v>
      </c>
      <c r="B794" s="151">
        <f>SUM(B795:B796)</f>
        <v>131156</v>
      </c>
      <c r="D794" s="85">
        <f>SUM(D795:D796)</f>
        <v>4221</v>
      </c>
      <c r="E794" s="151">
        <f t="shared" si="40"/>
        <v>135377</v>
      </c>
    </row>
    <row r="795" spans="1:5">
      <c r="A795" s="107" t="s">
        <v>431</v>
      </c>
      <c r="B795" s="156">
        <v>128656</v>
      </c>
      <c r="D795" s="155">
        <v>4100</v>
      </c>
      <c r="E795" s="156">
        <f t="shared" si="40"/>
        <v>132756</v>
      </c>
    </row>
    <row r="796" spans="1:5">
      <c r="A796" s="182" t="s">
        <v>246</v>
      </c>
      <c r="B796" s="156">
        <v>2500</v>
      </c>
      <c r="D796" s="156">
        <v>121</v>
      </c>
      <c r="E796" s="156">
        <f t="shared" si="40"/>
        <v>2621</v>
      </c>
    </row>
    <row r="797" spans="1:5">
      <c r="A797" s="90"/>
      <c r="B797" s="149"/>
      <c r="E797" s="149">
        <f t="shared" si="40"/>
        <v>0</v>
      </c>
    </row>
    <row r="798" spans="1:5">
      <c r="A798" s="82" t="s">
        <v>91</v>
      </c>
      <c r="B798" s="151">
        <f>B799+B800</f>
        <v>25000</v>
      </c>
      <c r="E798" s="151">
        <f t="shared" si="40"/>
        <v>25000</v>
      </c>
    </row>
    <row r="799" spans="1:5">
      <c r="A799" s="181" t="s">
        <v>423</v>
      </c>
      <c r="B799" s="156">
        <v>15000</v>
      </c>
      <c r="E799" s="156">
        <f t="shared" si="40"/>
        <v>15000</v>
      </c>
    </row>
    <row r="800" spans="1:5">
      <c r="A800" s="115" t="s">
        <v>92</v>
      </c>
      <c r="B800" s="156">
        <v>10000</v>
      </c>
      <c r="E800" s="156">
        <f t="shared" si="40"/>
        <v>10000</v>
      </c>
    </row>
    <row r="801" spans="1:5">
      <c r="A801" s="115" t="s">
        <v>714</v>
      </c>
      <c r="B801" s="156"/>
      <c r="E801" s="156">
        <f t="shared" si="40"/>
        <v>0</v>
      </c>
    </row>
    <row r="802" spans="1:5">
      <c r="A802" s="115"/>
      <c r="B802" s="156"/>
      <c r="E802" s="156">
        <f t="shared" si="40"/>
        <v>0</v>
      </c>
    </row>
    <row r="803" spans="1:5" ht="38.25">
      <c r="A803" s="86" t="s">
        <v>694</v>
      </c>
      <c r="B803" s="151">
        <v>20000</v>
      </c>
      <c r="E803" s="151">
        <f t="shared" si="40"/>
        <v>20000</v>
      </c>
    </row>
    <row r="804" spans="1:5">
      <c r="A804" s="78" t="s">
        <v>173</v>
      </c>
      <c r="B804" s="239">
        <v>11211</v>
      </c>
      <c r="E804" s="239">
        <f t="shared" si="40"/>
        <v>11211</v>
      </c>
    </row>
    <row r="805" spans="1:5">
      <c r="A805" s="125"/>
      <c r="B805" s="156"/>
      <c r="E805" s="156">
        <f t="shared" si="40"/>
        <v>0</v>
      </c>
    </row>
    <row r="806" spans="1:5">
      <c r="A806" s="88" t="s">
        <v>184</v>
      </c>
      <c r="B806" s="239">
        <v>20000</v>
      </c>
      <c r="E806" s="239">
        <f t="shared" si="40"/>
        <v>20000</v>
      </c>
    </row>
    <row r="807" spans="1:5">
      <c r="A807" s="184"/>
      <c r="B807" s="156"/>
      <c r="E807" s="156">
        <f t="shared" si="40"/>
        <v>0</v>
      </c>
    </row>
    <row r="808" spans="1:5" ht="25.5">
      <c r="A808" s="86" t="s">
        <v>757</v>
      </c>
      <c r="B808" s="239"/>
      <c r="C808" s="151">
        <v>22500</v>
      </c>
      <c r="D808" s="151"/>
      <c r="E808" s="239">
        <f t="shared" si="40"/>
        <v>22500</v>
      </c>
    </row>
    <row r="809" spans="1:5">
      <c r="A809" s="78" t="s">
        <v>173</v>
      </c>
      <c r="B809" s="239"/>
      <c r="C809" s="239">
        <v>7474</v>
      </c>
      <c r="D809" s="239"/>
      <c r="E809" s="239">
        <f t="shared" si="40"/>
        <v>7474</v>
      </c>
    </row>
    <row r="810" spans="1:5">
      <c r="A810" s="125"/>
      <c r="B810" s="239"/>
      <c r="C810" s="156"/>
      <c r="D810" s="156"/>
      <c r="E810" s="239">
        <f t="shared" si="40"/>
        <v>0</v>
      </c>
    </row>
    <row r="811" spans="1:5">
      <c r="A811" s="88" t="s">
        <v>184</v>
      </c>
      <c r="B811" s="239"/>
      <c r="C811" s="239">
        <v>19125</v>
      </c>
      <c r="D811" s="239"/>
      <c r="E811" s="239">
        <f t="shared" si="40"/>
        <v>19125</v>
      </c>
    </row>
    <row r="812" spans="1:5">
      <c r="A812" s="339"/>
      <c r="B812" s="239"/>
      <c r="C812" s="340"/>
      <c r="D812" s="340"/>
      <c r="E812" s="239">
        <f t="shared" si="40"/>
        <v>0</v>
      </c>
    </row>
    <row r="813" spans="1:5">
      <c r="A813" s="86" t="s">
        <v>758</v>
      </c>
      <c r="B813" s="239"/>
      <c r="C813" s="151">
        <v>1800</v>
      </c>
      <c r="D813" s="151"/>
      <c r="E813" s="239">
        <f t="shared" si="40"/>
        <v>1800</v>
      </c>
    </row>
    <row r="814" spans="1:5">
      <c r="A814" s="339"/>
      <c r="B814" s="239"/>
      <c r="C814" s="340"/>
      <c r="D814" s="340"/>
      <c r="E814" s="239">
        <f t="shared" si="40"/>
        <v>0</v>
      </c>
    </row>
    <row r="815" spans="1:5">
      <c r="A815" s="88" t="s">
        <v>184</v>
      </c>
      <c r="B815" s="239"/>
      <c r="C815" s="239">
        <v>1800</v>
      </c>
      <c r="D815" s="239"/>
      <c r="E815" s="239">
        <f t="shared" si="40"/>
        <v>1800</v>
      </c>
    </row>
    <row r="816" spans="1:5">
      <c r="A816" s="339"/>
      <c r="B816" s="239"/>
      <c r="C816" s="340"/>
      <c r="D816" s="340"/>
      <c r="E816" s="239">
        <f t="shared" si="40"/>
        <v>0</v>
      </c>
    </row>
    <row r="817" spans="1:6">
      <c r="A817" s="86" t="s">
        <v>759</v>
      </c>
      <c r="B817" s="239"/>
      <c r="C817" s="151">
        <v>20417</v>
      </c>
      <c r="D817" s="151"/>
      <c r="E817" s="239">
        <f t="shared" si="40"/>
        <v>20417</v>
      </c>
    </row>
    <row r="818" spans="1:6">
      <c r="A818" s="78" t="s">
        <v>173</v>
      </c>
      <c r="B818" s="239"/>
      <c r="C818" s="239">
        <v>5232</v>
      </c>
      <c r="D818" s="239"/>
      <c r="E818" s="239">
        <f t="shared" si="40"/>
        <v>5232</v>
      </c>
    </row>
    <row r="819" spans="1:6">
      <c r="A819" s="125"/>
      <c r="B819" s="239"/>
      <c r="C819" s="156"/>
      <c r="D819" s="156"/>
      <c r="E819" s="239">
        <f t="shared" si="40"/>
        <v>0</v>
      </c>
    </row>
    <row r="820" spans="1:6">
      <c r="A820" s="88" t="s">
        <v>184</v>
      </c>
      <c r="B820" s="239"/>
      <c r="C820" s="239">
        <v>15725</v>
      </c>
      <c r="D820" s="239"/>
      <c r="E820" s="239">
        <f t="shared" si="40"/>
        <v>15725</v>
      </c>
    </row>
    <row r="821" spans="1:6">
      <c r="A821" s="184"/>
      <c r="B821" s="156"/>
      <c r="C821" s="156"/>
      <c r="D821" s="156"/>
      <c r="E821" s="156">
        <f t="shared" si="40"/>
        <v>0</v>
      </c>
    </row>
    <row r="822" spans="1:6" ht="25.5">
      <c r="A822" s="86" t="s">
        <v>1089</v>
      </c>
      <c r="B822" s="156"/>
      <c r="C822" s="156"/>
      <c r="D822" s="276">
        <v>6000</v>
      </c>
      <c r="E822" s="156">
        <f t="shared" si="40"/>
        <v>6000</v>
      </c>
    </row>
    <row r="823" spans="1:6">
      <c r="A823" s="78" t="s">
        <v>173</v>
      </c>
      <c r="B823" s="156"/>
      <c r="C823" s="156"/>
      <c r="D823" s="87">
        <v>747</v>
      </c>
      <c r="E823" s="156">
        <f t="shared" si="40"/>
        <v>747</v>
      </c>
    </row>
    <row r="824" spans="1:6">
      <c r="A824" s="125"/>
      <c r="B824" s="156"/>
      <c r="C824" s="156"/>
      <c r="D824" s="594"/>
      <c r="E824" s="156">
        <f t="shared" si="40"/>
        <v>0</v>
      </c>
    </row>
    <row r="825" spans="1:6">
      <c r="A825" s="88" t="s">
        <v>184</v>
      </c>
      <c r="B825" s="156"/>
      <c r="C825" s="156"/>
      <c r="D825" s="587">
        <v>5100</v>
      </c>
      <c r="E825" s="156">
        <f t="shared" si="40"/>
        <v>5100</v>
      </c>
    </row>
    <row r="826" spans="1:6">
      <c r="A826" s="184"/>
      <c r="B826" s="156"/>
      <c r="C826" s="156"/>
      <c r="D826" s="595"/>
      <c r="E826" s="156">
        <f t="shared" si="40"/>
        <v>0</v>
      </c>
    </row>
    <row r="827" spans="1:6" ht="51">
      <c r="A827" s="86" t="s">
        <v>1090</v>
      </c>
      <c r="B827" s="156"/>
      <c r="C827" s="156"/>
      <c r="D827" s="276">
        <v>6000</v>
      </c>
      <c r="E827" s="156">
        <f t="shared" si="40"/>
        <v>6000</v>
      </c>
    </row>
    <row r="828" spans="1:6">
      <c r="A828" s="78" t="s">
        <v>173</v>
      </c>
      <c r="B828" s="156"/>
      <c r="C828" s="156"/>
      <c r="D828" s="87">
        <v>4484</v>
      </c>
      <c r="E828" s="156">
        <f t="shared" si="40"/>
        <v>4484</v>
      </c>
    </row>
    <row r="829" spans="1:6">
      <c r="A829" s="125"/>
      <c r="B829" s="156"/>
      <c r="C829" s="156"/>
      <c r="D829" s="594"/>
      <c r="E829" s="156">
        <f t="shared" si="40"/>
        <v>0</v>
      </c>
    </row>
    <row r="830" spans="1:6" s="286" customFormat="1" ht="12">
      <c r="A830" s="88" t="s">
        <v>184</v>
      </c>
      <c r="B830" s="156"/>
      <c r="C830" s="156"/>
      <c r="D830" s="587">
        <v>5100</v>
      </c>
      <c r="E830" s="156">
        <f t="shared" si="40"/>
        <v>5100</v>
      </c>
      <c r="F830" s="250"/>
    </row>
    <row r="831" spans="1:6">
      <c r="A831" s="125"/>
      <c r="B831" s="156"/>
      <c r="C831" s="156"/>
      <c r="D831" s="156"/>
      <c r="E831" s="156">
        <f t="shared" si="40"/>
        <v>0</v>
      </c>
    </row>
    <row r="832" spans="1:6">
      <c r="A832" s="82" t="s">
        <v>585</v>
      </c>
      <c r="B832" s="151">
        <v>30683</v>
      </c>
      <c r="E832" s="151">
        <f t="shared" si="40"/>
        <v>30683</v>
      </c>
    </row>
    <row r="833" spans="1:5">
      <c r="A833" s="82"/>
      <c r="B833" s="151"/>
      <c r="E833" s="151">
        <f t="shared" si="40"/>
        <v>0</v>
      </c>
    </row>
    <row r="834" spans="1:5">
      <c r="A834" s="82" t="s">
        <v>586</v>
      </c>
      <c r="B834" s="151">
        <v>15500</v>
      </c>
      <c r="E834" s="151">
        <f t="shared" si="40"/>
        <v>15500</v>
      </c>
    </row>
    <row r="835" spans="1:5">
      <c r="A835" s="77"/>
      <c r="B835" s="288"/>
      <c r="E835" s="288">
        <f t="shared" si="40"/>
        <v>0</v>
      </c>
    </row>
    <row r="836" spans="1:5">
      <c r="A836" s="77"/>
      <c r="B836" s="288"/>
      <c r="E836" s="288">
        <f t="shared" si="40"/>
        <v>0</v>
      </c>
    </row>
    <row r="837" spans="1:5" ht="15.75">
      <c r="A837" s="95" t="s">
        <v>247</v>
      </c>
      <c r="B837" s="147"/>
      <c r="E837" s="147">
        <f t="shared" si="40"/>
        <v>0</v>
      </c>
    </row>
    <row r="838" spans="1:5">
      <c r="A838" s="90"/>
      <c r="B838" s="147"/>
      <c r="E838" s="147">
        <f t="shared" si="40"/>
        <v>0</v>
      </c>
    </row>
    <row r="839" spans="1:5">
      <c r="A839" s="90" t="s">
        <v>168</v>
      </c>
      <c r="B839" s="147">
        <f>SUM(B847,B864,B871)</f>
        <v>37483260</v>
      </c>
      <c r="C839" s="177">
        <f>SUM(C847,C864,C871)</f>
        <v>312497</v>
      </c>
      <c r="D839" s="177">
        <f>SUM(D847,D864,D871)</f>
        <v>1222225</v>
      </c>
      <c r="E839" s="147">
        <f t="shared" ref="E839:E902" si="42">SUM(B839:D839)</f>
        <v>39017982</v>
      </c>
    </row>
    <row r="840" spans="1:5">
      <c r="A840" s="67" t="s">
        <v>185</v>
      </c>
      <c r="B840" s="149">
        <v>18649000</v>
      </c>
      <c r="C840" s="149"/>
      <c r="D840" s="149"/>
      <c r="E840" s="149">
        <f t="shared" si="42"/>
        <v>18649000</v>
      </c>
    </row>
    <row r="841" spans="1:5">
      <c r="A841" s="91" t="s">
        <v>169</v>
      </c>
      <c r="B841" s="147">
        <f>SUM(B842:B845)</f>
        <v>37483260</v>
      </c>
      <c r="C841" s="177">
        <f>SUM(C842:C845)</f>
        <v>312497</v>
      </c>
      <c r="D841" s="177">
        <f>SUM(D842:D845)</f>
        <v>1222225</v>
      </c>
      <c r="E841" s="147">
        <f t="shared" si="42"/>
        <v>39017982</v>
      </c>
    </row>
    <row r="842" spans="1:5">
      <c r="A842" s="92" t="s">
        <v>170</v>
      </c>
      <c r="B842" s="149">
        <v>753524</v>
      </c>
      <c r="C842" s="149">
        <v>0</v>
      </c>
      <c r="D842" s="149">
        <v>40000</v>
      </c>
      <c r="E842" s="149">
        <f t="shared" si="42"/>
        <v>793524</v>
      </c>
    </row>
    <row r="843" spans="1:5">
      <c r="A843" s="26" t="s">
        <v>1081</v>
      </c>
      <c r="B843" s="149"/>
      <c r="C843" s="149"/>
      <c r="D843" s="149">
        <v>418</v>
      </c>
      <c r="E843" s="149">
        <f t="shared" si="42"/>
        <v>418</v>
      </c>
    </row>
    <row r="844" spans="1:5">
      <c r="A844" s="93" t="s">
        <v>152</v>
      </c>
      <c r="B844" s="149">
        <v>6118</v>
      </c>
      <c r="C844" s="149">
        <v>32538</v>
      </c>
      <c r="D844" s="149">
        <v>3758</v>
      </c>
      <c r="E844" s="149">
        <f t="shared" si="42"/>
        <v>42414</v>
      </c>
    </row>
    <row r="845" spans="1:5">
      <c r="A845" s="93" t="s">
        <v>171</v>
      </c>
      <c r="B845" s="149">
        <f>B839-B842-B844</f>
        <v>36723618</v>
      </c>
      <c r="C845" s="149">
        <f>C839-C842-C844</f>
        <v>279959</v>
      </c>
      <c r="D845" s="149">
        <f>D839-D842-D844-D843</f>
        <v>1178049</v>
      </c>
      <c r="E845" s="149">
        <f t="shared" si="42"/>
        <v>38181626</v>
      </c>
    </row>
    <row r="846" spans="1:5">
      <c r="A846" s="178"/>
      <c r="B846" s="149"/>
      <c r="C846" s="152"/>
      <c r="D846" s="152"/>
      <c r="E846" s="149">
        <f t="shared" si="42"/>
        <v>0</v>
      </c>
    </row>
    <row r="847" spans="1:5" ht="15">
      <c r="A847" s="118" t="s">
        <v>544</v>
      </c>
      <c r="B847" s="154">
        <f>SUM(B848,B860)</f>
        <v>27984197</v>
      </c>
      <c r="C847" s="179">
        <f>SUM(C848,C860)</f>
        <v>335000</v>
      </c>
      <c r="D847" s="179">
        <f>SUM(D848,D860)</f>
        <v>1135000</v>
      </c>
      <c r="E847" s="154">
        <f t="shared" si="42"/>
        <v>29454197</v>
      </c>
    </row>
    <row r="848" spans="1:5">
      <c r="A848" s="298" t="s">
        <v>545</v>
      </c>
      <c r="B848" s="147">
        <f>SUM(B851,B854,B858)</f>
        <v>21774049</v>
      </c>
      <c r="C848" s="177">
        <f>SUM(C851,C854,C858)</f>
        <v>275000</v>
      </c>
      <c r="D848" s="177">
        <f>SUM(D851,D854,D858)</f>
        <v>1051000</v>
      </c>
      <c r="E848" s="147">
        <f t="shared" si="42"/>
        <v>23100049</v>
      </c>
    </row>
    <row r="849" spans="1:5">
      <c r="A849" s="81" t="s">
        <v>173</v>
      </c>
      <c r="B849" s="289">
        <f>SUM(B855)</f>
        <v>104100</v>
      </c>
      <c r="C849" s="289"/>
      <c r="D849" s="289">
        <f>SUM(D855)</f>
        <v>0</v>
      </c>
      <c r="E849" s="289">
        <f t="shared" si="42"/>
        <v>104100</v>
      </c>
    </row>
    <row r="850" spans="1:5">
      <c r="A850" s="305" t="s">
        <v>179</v>
      </c>
      <c r="B850" s="149"/>
      <c r="C850" s="152"/>
      <c r="D850" s="152"/>
      <c r="E850" s="149">
        <f t="shared" si="42"/>
        <v>0</v>
      </c>
    </row>
    <row r="851" spans="1:5">
      <c r="A851" s="94" t="s">
        <v>249</v>
      </c>
      <c r="B851" s="71">
        <v>8100000</v>
      </c>
      <c r="C851" s="150">
        <v>275000</v>
      </c>
      <c r="D851" s="150">
        <v>1000000</v>
      </c>
      <c r="E851" s="71">
        <f t="shared" si="42"/>
        <v>9375000</v>
      </c>
    </row>
    <row r="852" spans="1:5">
      <c r="A852" s="102"/>
      <c r="B852" s="71"/>
      <c r="C852" s="150"/>
      <c r="D852" s="150"/>
      <c r="E852" s="71">
        <f t="shared" si="42"/>
        <v>0</v>
      </c>
    </row>
    <row r="853" spans="1:5">
      <c r="A853" s="305" t="s">
        <v>179</v>
      </c>
      <c r="B853" s="149"/>
      <c r="C853" s="152"/>
      <c r="D853" s="152"/>
      <c r="E853" s="149">
        <f t="shared" si="42"/>
        <v>0</v>
      </c>
    </row>
    <row r="854" spans="1:5">
      <c r="A854" s="94" t="s">
        <v>250</v>
      </c>
      <c r="B854" s="71">
        <v>13598049</v>
      </c>
      <c r="C854" s="150"/>
      <c r="D854" s="150">
        <v>25000</v>
      </c>
      <c r="E854" s="71">
        <f t="shared" si="42"/>
        <v>13623049</v>
      </c>
    </row>
    <row r="855" spans="1:5">
      <c r="A855" s="84" t="s">
        <v>173</v>
      </c>
      <c r="B855" s="289">
        <v>104100</v>
      </c>
      <c r="C855" s="289"/>
      <c r="D855" s="289"/>
      <c r="E855" s="289">
        <f t="shared" si="42"/>
        <v>104100</v>
      </c>
    </row>
    <row r="856" spans="1:5">
      <c r="A856" s="124"/>
      <c r="B856" s="617"/>
      <c r="C856" s="341"/>
      <c r="D856" s="341"/>
      <c r="E856" s="617">
        <f t="shared" si="42"/>
        <v>0</v>
      </c>
    </row>
    <row r="857" spans="1:5">
      <c r="A857" s="305" t="s">
        <v>240</v>
      </c>
      <c r="B857" s="71"/>
      <c r="C857" s="150"/>
      <c r="D857" s="150"/>
      <c r="E857" s="71">
        <f t="shared" si="42"/>
        <v>0</v>
      </c>
    </row>
    <row r="858" spans="1:5">
      <c r="A858" s="94" t="s">
        <v>252</v>
      </c>
      <c r="B858" s="151">
        <v>76000</v>
      </c>
      <c r="C858" s="183"/>
      <c r="D858" s="183">
        <v>26000</v>
      </c>
      <c r="E858" s="151">
        <f t="shared" si="42"/>
        <v>102000</v>
      </c>
    </row>
    <row r="859" spans="1:5">
      <c r="A859" s="86"/>
      <c r="B859" s="151"/>
      <c r="C859" s="183"/>
      <c r="D859" s="183"/>
      <c r="E859" s="151">
        <f t="shared" si="42"/>
        <v>0</v>
      </c>
    </row>
    <row r="860" spans="1:5">
      <c r="A860" s="298" t="s">
        <v>442</v>
      </c>
      <c r="B860" s="147">
        <v>6210148</v>
      </c>
      <c r="C860" s="177">
        <v>60000</v>
      </c>
      <c r="D860" s="177">
        <v>84000</v>
      </c>
      <c r="E860" s="147">
        <f t="shared" si="42"/>
        <v>6354148</v>
      </c>
    </row>
    <row r="861" spans="1:5">
      <c r="A861" s="146"/>
      <c r="B861" s="616"/>
      <c r="C861" s="338"/>
      <c r="D861" s="338"/>
      <c r="E861" s="616">
        <f t="shared" si="42"/>
        <v>0</v>
      </c>
    </row>
    <row r="862" spans="1:5" ht="22.5">
      <c r="A862" s="124" t="s">
        <v>546</v>
      </c>
      <c r="B862" s="148"/>
      <c r="C862" s="180"/>
      <c r="D862" s="180"/>
      <c r="E862" s="148">
        <f t="shared" si="42"/>
        <v>0</v>
      </c>
    </row>
    <row r="863" spans="1:5">
      <c r="A863" s="124"/>
      <c r="B863" s="148"/>
      <c r="C863" s="180"/>
      <c r="D863" s="180"/>
      <c r="E863" s="148">
        <f t="shared" si="42"/>
        <v>0</v>
      </c>
    </row>
    <row r="864" spans="1:5" ht="15">
      <c r="A864" s="118" t="s">
        <v>254</v>
      </c>
      <c r="B864" s="154">
        <f>SUM(B865)</f>
        <v>930000</v>
      </c>
      <c r="C864" s="179"/>
      <c r="D864" s="590">
        <f>SUM(D865)</f>
        <v>40000</v>
      </c>
      <c r="E864" s="154">
        <f t="shared" si="42"/>
        <v>970000</v>
      </c>
    </row>
    <row r="865" spans="1:5">
      <c r="A865" s="298" t="s">
        <v>255</v>
      </c>
      <c r="B865" s="147">
        <f>B868</f>
        <v>930000</v>
      </c>
      <c r="C865" s="147"/>
      <c r="D865" s="284">
        <f>D868</f>
        <v>40000</v>
      </c>
      <c r="E865" s="147">
        <f t="shared" si="42"/>
        <v>970000</v>
      </c>
    </row>
    <row r="866" spans="1:5">
      <c r="A866" s="81" t="s">
        <v>173</v>
      </c>
      <c r="B866" s="289">
        <f>B869</f>
        <v>355201</v>
      </c>
      <c r="C866" s="289"/>
      <c r="D866" s="87">
        <f>D869</f>
        <v>15000</v>
      </c>
      <c r="E866" s="289">
        <f t="shared" si="42"/>
        <v>370201</v>
      </c>
    </row>
    <row r="867" spans="1:5">
      <c r="A867" s="305" t="s">
        <v>179</v>
      </c>
      <c r="B867" s="147"/>
      <c r="C867" s="147"/>
      <c r="D867" s="284"/>
      <c r="E867" s="147">
        <f t="shared" si="42"/>
        <v>0</v>
      </c>
    </row>
    <row r="868" spans="1:5">
      <c r="A868" s="94" t="s">
        <v>469</v>
      </c>
      <c r="B868" s="148">
        <v>930000</v>
      </c>
      <c r="C868" s="148"/>
      <c r="D868" s="593">
        <v>40000</v>
      </c>
      <c r="E868" s="148">
        <f t="shared" si="42"/>
        <v>970000</v>
      </c>
    </row>
    <row r="869" spans="1:5">
      <c r="A869" s="84" t="s">
        <v>173</v>
      </c>
      <c r="B869" s="289">
        <v>355201</v>
      </c>
      <c r="C869" s="289"/>
      <c r="D869" s="87">
        <v>15000</v>
      </c>
      <c r="E869" s="289">
        <f t="shared" si="42"/>
        <v>370201</v>
      </c>
    </row>
    <row r="870" spans="1:5">
      <c r="A870" s="135"/>
      <c r="B870" s="71"/>
      <c r="C870" s="150"/>
      <c r="D870" s="150"/>
      <c r="E870" s="71">
        <f t="shared" si="42"/>
        <v>0</v>
      </c>
    </row>
    <row r="871" spans="1:5">
      <c r="A871" s="90" t="s">
        <v>172</v>
      </c>
      <c r="B871" s="147">
        <f>SUM(B873,B876,B884,B886,B888,B890,B892,B897,B900,B902,B909,B925)</f>
        <v>8569063</v>
      </c>
      <c r="C871" s="177">
        <f>SUM(C873,C876,C884,C886,C888,C890,C892,C897,C900,C902,C910,C925,C914,C918)</f>
        <v>-22503</v>
      </c>
      <c r="D871" s="177">
        <f>SUM(D873,D876,D884,D886,D888,D890,D892,D897,D900,D902,D909,D925,D920)</f>
        <v>47225</v>
      </c>
      <c r="E871" s="147">
        <f t="shared" si="42"/>
        <v>8593785</v>
      </c>
    </row>
    <row r="872" spans="1:5">
      <c r="A872" s="90"/>
      <c r="B872" s="149"/>
      <c r="C872" s="152"/>
      <c r="D872" s="152"/>
      <c r="E872" s="149">
        <f t="shared" si="42"/>
        <v>0</v>
      </c>
    </row>
    <row r="873" spans="1:5">
      <c r="A873" s="77" t="s">
        <v>710</v>
      </c>
      <c r="B873" s="148">
        <f>1574526+12138+1652</f>
        <v>1588316</v>
      </c>
      <c r="C873" s="148">
        <v>29217</v>
      </c>
      <c r="D873" s="71">
        <f>15682-3233</f>
        <v>12449</v>
      </c>
      <c r="E873" s="148">
        <f t="shared" si="42"/>
        <v>1629982</v>
      </c>
    </row>
    <row r="874" spans="1:5">
      <c r="A874" s="78" t="s">
        <v>173</v>
      </c>
      <c r="B874" s="100">
        <f>1051936+9072+1235</f>
        <v>1062243</v>
      </c>
      <c r="C874" s="100">
        <v>21836</v>
      </c>
      <c r="D874" s="87">
        <f>11211+11720-2417</f>
        <v>20514</v>
      </c>
      <c r="E874" s="100">
        <f t="shared" si="42"/>
        <v>1104593</v>
      </c>
    </row>
    <row r="875" spans="1:5">
      <c r="A875" s="90"/>
      <c r="B875" s="149"/>
      <c r="C875" s="149"/>
      <c r="D875" s="149"/>
      <c r="E875" s="149">
        <f t="shared" si="42"/>
        <v>0</v>
      </c>
    </row>
    <row r="876" spans="1:5">
      <c r="A876" s="86" t="s">
        <v>425</v>
      </c>
      <c r="B876" s="151">
        <f>B877+B878+B879+B880</f>
        <v>5127965</v>
      </c>
      <c r="C876" s="151"/>
      <c r="D876" s="151">
        <f>D877+D878+D879+D880</f>
        <v>8000</v>
      </c>
      <c r="E876" s="151">
        <f t="shared" si="42"/>
        <v>5135965</v>
      </c>
    </row>
    <row r="877" spans="1:5">
      <c r="A877" s="107" t="s">
        <v>432</v>
      </c>
      <c r="B877" s="156">
        <v>4600000</v>
      </c>
      <c r="C877" s="156"/>
      <c r="D877" s="156"/>
      <c r="E877" s="156">
        <f t="shared" si="42"/>
        <v>4600000</v>
      </c>
    </row>
    <row r="878" spans="1:5">
      <c r="A878" s="181" t="s">
        <v>94</v>
      </c>
      <c r="B878" s="156">
        <v>390000</v>
      </c>
      <c r="C878" s="156"/>
      <c r="D878" s="156"/>
      <c r="E878" s="156">
        <f t="shared" si="42"/>
        <v>390000</v>
      </c>
    </row>
    <row r="879" spans="1:5">
      <c r="A879" s="112" t="s">
        <v>95</v>
      </c>
      <c r="B879" s="156">
        <f>23965</f>
        <v>23965</v>
      </c>
      <c r="C879" s="156"/>
      <c r="D879" s="156"/>
      <c r="E879" s="156">
        <f t="shared" si="42"/>
        <v>23965</v>
      </c>
    </row>
    <row r="880" spans="1:5">
      <c r="A880" s="181" t="s">
        <v>382</v>
      </c>
      <c r="B880" s="156">
        <f>110000+4000</f>
        <v>114000</v>
      </c>
      <c r="C880" s="156"/>
      <c r="D880" s="156">
        <v>8000</v>
      </c>
      <c r="E880" s="156">
        <f t="shared" si="42"/>
        <v>122000</v>
      </c>
    </row>
    <row r="881" spans="1:5">
      <c r="A881" s="181"/>
      <c r="B881" s="156"/>
      <c r="C881" s="156"/>
      <c r="D881" s="156"/>
      <c r="E881" s="156">
        <f t="shared" si="42"/>
        <v>0</v>
      </c>
    </row>
    <row r="882" spans="1:5" ht="22.5">
      <c r="A882" s="124" t="s">
        <v>426</v>
      </c>
      <c r="B882" s="156"/>
      <c r="C882" s="156"/>
      <c r="D882" s="156"/>
      <c r="E882" s="156">
        <f t="shared" si="42"/>
        <v>0</v>
      </c>
    </row>
    <row r="883" spans="1:5">
      <c r="A883" s="124"/>
      <c r="B883" s="156"/>
      <c r="C883" s="156"/>
      <c r="D883" s="156"/>
      <c r="E883" s="156">
        <f t="shared" si="42"/>
        <v>0</v>
      </c>
    </row>
    <row r="884" spans="1:5" ht="25.5">
      <c r="A884" s="86" t="s">
        <v>427</v>
      </c>
      <c r="B884" s="151">
        <v>158820</v>
      </c>
      <c r="C884" s="183"/>
      <c r="D884" s="183"/>
      <c r="E884" s="151">
        <f t="shared" si="42"/>
        <v>158820</v>
      </c>
    </row>
    <row r="885" spans="1:5">
      <c r="A885" s="122"/>
      <c r="B885" s="230"/>
      <c r="C885" s="185"/>
      <c r="D885" s="185"/>
      <c r="E885" s="230">
        <f t="shared" si="42"/>
        <v>0</v>
      </c>
    </row>
    <row r="886" spans="1:5">
      <c r="A886" s="86" t="s">
        <v>251</v>
      </c>
      <c r="B886" s="151">
        <v>200000</v>
      </c>
      <c r="C886" s="151"/>
      <c r="D886" s="151"/>
      <c r="E886" s="151">
        <f t="shared" si="42"/>
        <v>200000</v>
      </c>
    </row>
    <row r="887" spans="1:5">
      <c r="A887" s="82"/>
      <c r="B887" s="151"/>
      <c r="C887" s="183"/>
      <c r="D887" s="183"/>
      <c r="E887" s="151">
        <f t="shared" si="42"/>
        <v>0</v>
      </c>
    </row>
    <row r="888" spans="1:5">
      <c r="A888" s="82" t="s">
        <v>623</v>
      </c>
      <c r="B888" s="151">
        <v>7000</v>
      </c>
      <c r="C888" s="183"/>
      <c r="D888" s="183"/>
      <c r="E888" s="151">
        <f t="shared" si="42"/>
        <v>7000</v>
      </c>
    </row>
    <row r="889" spans="1:5">
      <c r="A889" s="82"/>
      <c r="B889" s="151"/>
      <c r="C889" s="183"/>
      <c r="D889" s="183"/>
      <c r="E889" s="151">
        <f t="shared" si="42"/>
        <v>0</v>
      </c>
    </row>
    <row r="890" spans="1:5">
      <c r="A890" s="77" t="s">
        <v>93</v>
      </c>
      <c r="B890" s="71">
        <v>66500</v>
      </c>
      <c r="C890" s="71"/>
      <c r="D890" s="71"/>
      <c r="E890" s="71">
        <f t="shared" si="42"/>
        <v>66500</v>
      </c>
    </row>
    <row r="891" spans="1:5">
      <c r="A891" s="82"/>
      <c r="B891" s="151"/>
      <c r="C891" s="183"/>
      <c r="D891" s="183"/>
      <c r="E891" s="151">
        <f t="shared" si="42"/>
        <v>0</v>
      </c>
    </row>
    <row r="892" spans="1:5">
      <c r="A892" s="86" t="s">
        <v>261</v>
      </c>
      <c r="B892" s="151">
        <v>331000</v>
      </c>
      <c r="C892" s="183"/>
      <c r="D892" s="183">
        <v>29600</v>
      </c>
      <c r="E892" s="151">
        <f t="shared" si="42"/>
        <v>360600</v>
      </c>
    </row>
    <row r="893" spans="1:5">
      <c r="A893" s="107" t="s">
        <v>433</v>
      </c>
      <c r="B893" s="618"/>
      <c r="C893" s="619"/>
      <c r="D893" s="619"/>
      <c r="E893" s="620">
        <f t="shared" si="42"/>
        <v>0</v>
      </c>
    </row>
    <row r="894" spans="1:5">
      <c r="A894" s="115" t="s">
        <v>96</v>
      </c>
      <c r="B894" s="618"/>
      <c r="C894" s="619"/>
      <c r="D894" s="619"/>
      <c r="E894" s="620">
        <f t="shared" si="42"/>
        <v>0</v>
      </c>
    </row>
    <row r="895" spans="1:5">
      <c r="A895" s="115" t="s">
        <v>659</v>
      </c>
      <c r="B895" s="618"/>
      <c r="C895" s="619"/>
      <c r="D895" s="618"/>
      <c r="E895" s="618">
        <f t="shared" si="42"/>
        <v>0</v>
      </c>
    </row>
    <row r="896" spans="1:5">
      <c r="A896" s="86"/>
      <c r="B896" s="151"/>
      <c r="C896" s="183"/>
      <c r="D896" s="183"/>
      <c r="E896" s="151">
        <f t="shared" si="42"/>
        <v>0</v>
      </c>
    </row>
    <row r="897" spans="1:5">
      <c r="A897" s="86" t="s">
        <v>489</v>
      </c>
      <c r="B897" s="151">
        <v>185600</v>
      </c>
      <c r="C897" s="151"/>
      <c r="D897" s="151"/>
      <c r="E897" s="151">
        <f t="shared" si="42"/>
        <v>185600</v>
      </c>
    </row>
    <row r="898" spans="1:5">
      <c r="A898" s="78" t="s">
        <v>173</v>
      </c>
      <c r="B898" s="100">
        <v>67915</v>
      </c>
      <c r="C898" s="100"/>
      <c r="D898" s="100"/>
      <c r="E898" s="100">
        <f t="shared" si="42"/>
        <v>67915</v>
      </c>
    </row>
    <row r="899" spans="1:5">
      <c r="A899" s="127"/>
      <c r="B899" s="156"/>
      <c r="C899" s="186"/>
      <c r="D899" s="186"/>
      <c r="E899" s="156">
        <f t="shared" si="42"/>
        <v>0</v>
      </c>
    </row>
    <row r="900" spans="1:5">
      <c r="A900" s="86" t="s">
        <v>695</v>
      </c>
      <c r="B900" s="151">
        <v>100000</v>
      </c>
      <c r="C900" s="151">
        <v>-100000</v>
      </c>
      <c r="D900" s="151"/>
      <c r="E900" s="151">
        <f t="shared" si="42"/>
        <v>0</v>
      </c>
    </row>
    <row r="901" spans="1:5">
      <c r="A901" s="127"/>
      <c r="B901" s="156"/>
      <c r="E901" s="156">
        <f t="shared" si="42"/>
        <v>0</v>
      </c>
    </row>
    <row r="902" spans="1:5">
      <c r="A902" s="86" t="s">
        <v>620</v>
      </c>
      <c r="B902" s="151">
        <f>B903+B904</f>
        <v>790000</v>
      </c>
      <c r="D902" s="151">
        <v>0</v>
      </c>
      <c r="E902" s="151">
        <f t="shared" si="42"/>
        <v>790000</v>
      </c>
    </row>
    <row r="903" spans="1:5">
      <c r="A903" s="115" t="s">
        <v>621</v>
      </c>
      <c r="B903" s="156">
        <v>395000</v>
      </c>
      <c r="D903" s="592">
        <v>150000</v>
      </c>
      <c r="E903" s="156">
        <f t="shared" ref="E903:E966" si="43">SUM(B903:D903)</f>
        <v>545000</v>
      </c>
    </row>
    <row r="904" spans="1:5">
      <c r="A904" s="115" t="s">
        <v>622</v>
      </c>
      <c r="B904" s="156">
        <v>395000</v>
      </c>
      <c r="D904" s="592">
        <v>-190000</v>
      </c>
      <c r="E904" s="156">
        <f t="shared" si="43"/>
        <v>205000</v>
      </c>
    </row>
    <row r="905" spans="1:5">
      <c r="A905" s="115" t="s">
        <v>1091</v>
      </c>
      <c r="B905" s="156"/>
      <c r="D905" s="592">
        <v>40000</v>
      </c>
      <c r="E905" s="156">
        <f t="shared" si="43"/>
        <v>40000</v>
      </c>
    </row>
    <row r="906" spans="1:5">
      <c r="A906" s="115"/>
      <c r="B906" s="151"/>
      <c r="E906" s="151">
        <f t="shared" si="43"/>
        <v>0</v>
      </c>
    </row>
    <row r="907" spans="1:5" ht="22.5">
      <c r="A907" s="124" t="s">
        <v>696</v>
      </c>
      <c r="B907" s="151"/>
      <c r="E907" s="151">
        <f t="shared" si="43"/>
        <v>0</v>
      </c>
    </row>
    <row r="908" spans="1:5">
      <c r="A908" s="86"/>
      <c r="B908" s="151"/>
      <c r="E908" s="151">
        <f t="shared" si="43"/>
        <v>0</v>
      </c>
    </row>
    <row r="909" spans="1:5" ht="38.25">
      <c r="A909" s="86" t="s">
        <v>587</v>
      </c>
      <c r="B909" s="151">
        <v>6862</v>
      </c>
      <c r="E909" s="151">
        <f t="shared" si="43"/>
        <v>6862</v>
      </c>
    </row>
    <row r="910" spans="1:5">
      <c r="A910" s="78" t="s">
        <v>173</v>
      </c>
      <c r="B910" s="100">
        <v>3466</v>
      </c>
      <c r="E910" s="100">
        <f t="shared" si="43"/>
        <v>3466</v>
      </c>
    </row>
    <row r="911" spans="1:5">
      <c r="A911" s="86"/>
      <c r="B911" s="151"/>
      <c r="E911" s="151">
        <f t="shared" si="43"/>
        <v>0</v>
      </c>
    </row>
    <row r="912" spans="1:5">
      <c r="A912" s="88" t="s">
        <v>184</v>
      </c>
      <c r="B912" s="100">
        <v>6118</v>
      </c>
      <c r="E912" s="100">
        <f t="shared" si="43"/>
        <v>6118</v>
      </c>
    </row>
    <row r="913" spans="1:6">
      <c r="A913" s="88"/>
      <c r="B913" s="100"/>
      <c r="E913" s="100">
        <f t="shared" si="43"/>
        <v>0</v>
      </c>
    </row>
    <row r="914" spans="1:6" s="286" customFormat="1" ht="38.25">
      <c r="A914" s="86" t="s">
        <v>760</v>
      </c>
      <c r="B914" s="151"/>
      <c r="C914" s="151">
        <v>38280</v>
      </c>
      <c r="D914" s="151"/>
      <c r="E914" s="151">
        <f t="shared" si="43"/>
        <v>38280</v>
      </c>
      <c r="F914" s="250"/>
    </row>
    <row r="915" spans="1:6">
      <c r="A915" s="86"/>
      <c r="B915" s="151"/>
      <c r="C915" s="100"/>
      <c r="D915" s="100"/>
      <c r="E915" s="151">
        <f t="shared" si="43"/>
        <v>0</v>
      </c>
    </row>
    <row r="916" spans="1:6">
      <c r="A916" s="88" t="s">
        <v>184</v>
      </c>
      <c r="B916" s="151"/>
      <c r="C916" s="100">
        <v>32538</v>
      </c>
      <c r="D916" s="100"/>
      <c r="E916" s="151">
        <f t="shared" si="43"/>
        <v>32538</v>
      </c>
    </row>
    <row r="917" spans="1:6">
      <c r="A917" s="88"/>
      <c r="B917" s="151"/>
      <c r="C917" s="100"/>
      <c r="D917" s="100"/>
      <c r="E917" s="151">
        <f t="shared" si="43"/>
        <v>0</v>
      </c>
    </row>
    <row r="918" spans="1:6" ht="25.5">
      <c r="A918" s="86" t="s">
        <v>761</v>
      </c>
      <c r="B918" s="151"/>
      <c r="C918" s="151">
        <v>10000</v>
      </c>
      <c r="D918" s="151"/>
      <c r="E918" s="151">
        <f t="shared" si="43"/>
        <v>10000</v>
      </c>
    </row>
    <row r="919" spans="1:6">
      <c r="A919" s="82"/>
      <c r="B919" s="151"/>
      <c r="C919" s="151"/>
      <c r="D919" s="151"/>
      <c r="E919" s="151">
        <f t="shared" si="43"/>
        <v>0</v>
      </c>
    </row>
    <row r="920" spans="1:6" ht="38.25">
      <c r="A920" s="86" t="s">
        <v>1092</v>
      </c>
      <c r="B920" s="151"/>
      <c r="C920" s="151"/>
      <c r="D920" s="276">
        <f>SUM(D922:D923)</f>
        <v>4176</v>
      </c>
      <c r="E920" s="151">
        <f t="shared" si="43"/>
        <v>4176</v>
      </c>
    </row>
    <row r="921" spans="1:6">
      <c r="A921" s="86"/>
      <c r="B921" s="151"/>
      <c r="C921" s="151"/>
      <c r="D921" s="276"/>
      <c r="E921" s="151">
        <f t="shared" si="43"/>
        <v>0</v>
      </c>
    </row>
    <row r="922" spans="1:6">
      <c r="A922" s="88" t="s">
        <v>1082</v>
      </c>
      <c r="B922" s="151"/>
      <c r="C922" s="151"/>
      <c r="D922" s="587">
        <v>418</v>
      </c>
      <c r="E922" s="151">
        <f t="shared" si="43"/>
        <v>418</v>
      </c>
    </row>
    <row r="923" spans="1:6">
      <c r="A923" s="88" t="s">
        <v>184</v>
      </c>
      <c r="B923" s="151"/>
      <c r="C923" s="151"/>
      <c r="D923" s="587">
        <v>3758</v>
      </c>
      <c r="E923" s="151">
        <f t="shared" si="43"/>
        <v>3758</v>
      </c>
    </row>
    <row r="924" spans="1:6">
      <c r="A924" s="82"/>
      <c r="B924" s="151"/>
      <c r="C924" s="151"/>
      <c r="D924" s="85"/>
      <c r="E924" s="151">
        <f t="shared" si="43"/>
        <v>0</v>
      </c>
    </row>
    <row r="925" spans="1:6">
      <c r="A925" s="82" t="s">
        <v>582</v>
      </c>
      <c r="B925" s="151">
        <v>7000</v>
      </c>
      <c r="D925" s="85">
        <v>-7000</v>
      </c>
      <c r="E925" s="151">
        <f t="shared" si="43"/>
        <v>0</v>
      </c>
    </row>
    <row r="926" spans="1:6">
      <c r="A926" s="82"/>
      <c r="B926" s="151"/>
      <c r="E926" s="151">
        <f t="shared" si="43"/>
        <v>0</v>
      </c>
    </row>
    <row r="927" spans="1:6">
      <c r="A927" s="184"/>
      <c r="B927" s="156"/>
      <c r="E927" s="156">
        <f t="shared" si="43"/>
        <v>0</v>
      </c>
    </row>
    <row r="928" spans="1:6" ht="15.75">
      <c r="A928" s="95" t="s">
        <v>253</v>
      </c>
      <c r="B928" s="147"/>
      <c r="E928" s="147">
        <f t="shared" si="43"/>
        <v>0</v>
      </c>
    </row>
    <row r="929" spans="1:5">
      <c r="A929" s="90"/>
      <c r="B929" s="147"/>
      <c r="E929" s="147">
        <f t="shared" si="43"/>
        <v>0</v>
      </c>
    </row>
    <row r="930" spans="1:5">
      <c r="A930" s="90" t="s">
        <v>168</v>
      </c>
      <c r="B930" s="147">
        <f>SUM(B937,B965,B968,B972)</f>
        <v>7969666</v>
      </c>
      <c r="C930" s="177">
        <f>SUM(C937,C965,C968,C972)</f>
        <v>520672</v>
      </c>
      <c r="D930" s="177">
        <f>SUM(D937,D965,D968,D972)</f>
        <v>75915</v>
      </c>
      <c r="E930" s="147">
        <f t="shared" si="43"/>
        <v>8566253</v>
      </c>
    </row>
    <row r="931" spans="1:5">
      <c r="A931" s="67" t="s">
        <v>185</v>
      </c>
      <c r="B931" s="149">
        <v>1150000</v>
      </c>
      <c r="C931" s="149"/>
      <c r="D931" s="149"/>
      <c r="E931" s="149">
        <f t="shared" si="43"/>
        <v>1150000</v>
      </c>
    </row>
    <row r="932" spans="1:5">
      <c r="A932" s="91" t="s">
        <v>169</v>
      </c>
      <c r="B932" s="147">
        <f>SUM(B933:B935)</f>
        <v>7969666</v>
      </c>
      <c r="C932" s="177">
        <f>SUM(C933:C935)</f>
        <v>520672</v>
      </c>
      <c r="D932" s="177">
        <f>SUM(D933:D935)</f>
        <v>75915</v>
      </c>
      <c r="E932" s="147">
        <f t="shared" si="43"/>
        <v>8566253</v>
      </c>
    </row>
    <row r="933" spans="1:5">
      <c r="A933" s="92" t="s">
        <v>170</v>
      </c>
      <c r="B933" s="149">
        <v>4007930</v>
      </c>
      <c r="C933" s="152">
        <v>1600</v>
      </c>
      <c r="D933" s="152">
        <v>297000</v>
      </c>
      <c r="E933" s="149">
        <f t="shared" si="43"/>
        <v>4306530</v>
      </c>
    </row>
    <row r="934" spans="1:5">
      <c r="A934" s="93" t="s">
        <v>152</v>
      </c>
      <c r="B934" s="149">
        <v>24484</v>
      </c>
      <c r="C934" s="152">
        <v>107979</v>
      </c>
      <c r="D934" s="152">
        <v>3462</v>
      </c>
      <c r="E934" s="149">
        <f t="shared" si="43"/>
        <v>135925</v>
      </c>
    </row>
    <row r="935" spans="1:5">
      <c r="A935" s="93" t="s">
        <v>171</v>
      </c>
      <c r="B935" s="149">
        <f>B930-B933-B934</f>
        <v>3937252</v>
      </c>
      <c r="C935" s="152">
        <f>C930-C933-C934</f>
        <v>411093</v>
      </c>
      <c r="D935" s="152">
        <f>D930-D933-D934</f>
        <v>-224547</v>
      </c>
      <c r="E935" s="149">
        <f t="shared" si="43"/>
        <v>4123798</v>
      </c>
    </row>
    <row r="936" spans="1:5">
      <c r="A936" s="178"/>
      <c r="B936" s="149"/>
      <c r="E936" s="149">
        <f t="shared" si="43"/>
        <v>0</v>
      </c>
    </row>
    <row r="937" spans="1:5" ht="15">
      <c r="A937" s="187" t="s">
        <v>254</v>
      </c>
      <c r="B937" s="154">
        <f>SUM(B938,B948,B954,B956)</f>
        <v>4928097</v>
      </c>
      <c r="C937" s="179">
        <f>SUM(C938,C948,C954,C956)</f>
        <v>390000</v>
      </c>
      <c r="D937" s="179">
        <f>SUM(D938,D948,D954,D956)</f>
        <v>67000</v>
      </c>
      <c r="E937" s="154">
        <f t="shared" si="43"/>
        <v>5385097</v>
      </c>
    </row>
    <row r="938" spans="1:5">
      <c r="A938" s="298" t="s">
        <v>255</v>
      </c>
      <c r="B938" s="147">
        <f>SUM(B940,B943)</f>
        <v>150000</v>
      </c>
      <c r="C938" s="177">
        <f>SUM(C940,C943,C946)</f>
        <v>240000</v>
      </c>
      <c r="D938" s="177">
        <f>SUM(D940,D943)</f>
        <v>0</v>
      </c>
      <c r="E938" s="147">
        <f t="shared" si="43"/>
        <v>390000</v>
      </c>
    </row>
    <row r="939" spans="1:5">
      <c r="A939" s="305" t="s">
        <v>179</v>
      </c>
      <c r="B939" s="147"/>
      <c r="E939" s="147">
        <f t="shared" si="43"/>
        <v>0</v>
      </c>
    </row>
    <row r="940" spans="1:5">
      <c r="A940" s="94" t="s">
        <v>424</v>
      </c>
      <c r="B940" s="151">
        <v>100000</v>
      </c>
      <c r="E940" s="151">
        <f t="shared" si="43"/>
        <v>100000</v>
      </c>
    </row>
    <row r="941" spans="1:5">
      <c r="A941" s="136"/>
      <c r="B941" s="616"/>
      <c r="E941" s="616">
        <f t="shared" si="43"/>
        <v>0</v>
      </c>
    </row>
    <row r="942" spans="1:5">
      <c r="A942" s="305" t="s">
        <v>240</v>
      </c>
      <c r="B942" s="151"/>
      <c r="E942" s="151">
        <f t="shared" si="43"/>
        <v>0</v>
      </c>
    </row>
    <row r="943" spans="1:5">
      <c r="A943" s="220" t="s">
        <v>521</v>
      </c>
      <c r="B943" s="151">
        <v>50000</v>
      </c>
      <c r="E943" s="151">
        <f t="shared" si="43"/>
        <v>50000</v>
      </c>
    </row>
    <row r="944" spans="1:5">
      <c r="A944" s="220"/>
      <c r="B944" s="151"/>
      <c r="E944" s="151">
        <f t="shared" si="43"/>
        <v>0</v>
      </c>
    </row>
    <row r="945" spans="1:5">
      <c r="A945" s="305" t="s">
        <v>240</v>
      </c>
      <c r="B945" s="151"/>
      <c r="E945" s="151">
        <f t="shared" si="43"/>
        <v>0</v>
      </c>
    </row>
    <row r="946" spans="1:5">
      <c r="A946" s="220" t="s">
        <v>762</v>
      </c>
      <c r="B946" s="151"/>
      <c r="C946" s="151">
        <v>240000</v>
      </c>
      <c r="D946" s="151"/>
      <c r="E946" s="151">
        <f t="shared" si="43"/>
        <v>240000</v>
      </c>
    </row>
    <row r="947" spans="1:5">
      <c r="A947" s="220"/>
      <c r="B947" s="151"/>
      <c r="E947" s="151">
        <f t="shared" si="43"/>
        <v>0</v>
      </c>
    </row>
    <row r="948" spans="1:5">
      <c r="A948" s="298" t="s">
        <v>97</v>
      </c>
      <c r="B948" s="147">
        <f>B951</f>
        <v>1465030</v>
      </c>
      <c r="C948" s="177"/>
      <c r="D948" s="177">
        <f>D951</f>
        <v>37000</v>
      </c>
      <c r="E948" s="147">
        <f t="shared" si="43"/>
        <v>1502030</v>
      </c>
    </row>
    <row r="949" spans="1:5">
      <c r="A949" s="81" t="s">
        <v>173</v>
      </c>
      <c r="B949" s="100">
        <f>B952</f>
        <v>584021</v>
      </c>
      <c r="C949" s="188"/>
      <c r="D949" s="188"/>
      <c r="E949" s="100">
        <f t="shared" si="43"/>
        <v>584021</v>
      </c>
    </row>
    <row r="950" spans="1:5">
      <c r="A950" s="305" t="s">
        <v>179</v>
      </c>
      <c r="B950" s="147"/>
      <c r="C950" s="147"/>
      <c r="D950" s="147"/>
      <c r="E950" s="147">
        <f t="shared" si="43"/>
        <v>0</v>
      </c>
    </row>
    <row r="951" spans="1:5">
      <c r="A951" s="94" t="s">
        <v>470</v>
      </c>
      <c r="B951" s="151">
        <f>1459650+5380</f>
        <v>1465030</v>
      </c>
      <c r="C951" s="151"/>
      <c r="D951" s="151">
        <v>37000</v>
      </c>
      <c r="E951" s="151">
        <f t="shared" si="43"/>
        <v>1502030</v>
      </c>
    </row>
    <row r="952" spans="1:5">
      <c r="A952" s="84" t="s">
        <v>173</v>
      </c>
      <c r="B952" s="100">
        <f>580000+4021</f>
        <v>584021</v>
      </c>
      <c r="C952" s="188"/>
      <c r="D952" s="188"/>
      <c r="E952" s="100">
        <f t="shared" si="43"/>
        <v>584021</v>
      </c>
    </row>
    <row r="953" spans="1:5">
      <c r="A953" s="135"/>
      <c r="B953" s="71"/>
      <c r="C953" s="150"/>
      <c r="D953" s="150"/>
      <c r="E953" s="71">
        <f t="shared" si="43"/>
        <v>0</v>
      </c>
    </row>
    <row r="954" spans="1:5">
      <c r="A954" s="298" t="s">
        <v>443</v>
      </c>
      <c r="B954" s="147">
        <v>420000</v>
      </c>
      <c r="C954" s="177">
        <v>150000</v>
      </c>
      <c r="D954" s="177"/>
      <c r="E954" s="147">
        <f t="shared" si="43"/>
        <v>570000</v>
      </c>
    </row>
    <row r="955" spans="1:5">
      <c r="A955" s="135"/>
      <c r="B955" s="148"/>
      <c r="C955" s="180"/>
      <c r="D955" s="180"/>
      <c r="E955" s="148">
        <f t="shared" si="43"/>
        <v>0</v>
      </c>
    </row>
    <row r="956" spans="1:5">
      <c r="A956" s="298" t="s">
        <v>98</v>
      </c>
      <c r="B956" s="147">
        <f>B959+B963</f>
        <v>2893067</v>
      </c>
      <c r="C956" s="177"/>
      <c r="D956" s="177">
        <f>D959+D963</f>
        <v>30000</v>
      </c>
      <c r="E956" s="147">
        <f t="shared" si="43"/>
        <v>2923067</v>
      </c>
    </row>
    <row r="957" spans="1:5">
      <c r="A957" s="81" t="s">
        <v>173</v>
      </c>
      <c r="B957" s="100">
        <f>B960</f>
        <v>231600</v>
      </c>
      <c r="C957" s="188"/>
      <c r="D957" s="188"/>
      <c r="E957" s="100">
        <f t="shared" si="43"/>
        <v>231600</v>
      </c>
    </row>
    <row r="958" spans="1:5">
      <c r="A958" s="305" t="s">
        <v>179</v>
      </c>
      <c r="B958" s="147"/>
      <c r="C958" s="177"/>
      <c r="D958" s="177"/>
      <c r="E958" s="147">
        <f t="shared" si="43"/>
        <v>0</v>
      </c>
    </row>
    <row r="959" spans="1:5">
      <c r="A959" s="94" t="s">
        <v>471</v>
      </c>
      <c r="B959" s="151">
        <v>2700367</v>
      </c>
      <c r="C959" s="151"/>
      <c r="D959" s="151">
        <v>30000</v>
      </c>
      <c r="E959" s="151">
        <f t="shared" si="43"/>
        <v>2730367</v>
      </c>
    </row>
    <row r="960" spans="1:5">
      <c r="A960" s="84" t="s">
        <v>173</v>
      </c>
      <c r="B960" s="100">
        <v>231600</v>
      </c>
      <c r="C960" s="100"/>
      <c r="D960" s="100"/>
      <c r="E960" s="100">
        <f t="shared" si="43"/>
        <v>231600</v>
      </c>
    </row>
    <row r="961" spans="1:5">
      <c r="A961" s="127"/>
      <c r="B961" s="147"/>
      <c r="C961" s="177"/>
      <c r="D961" s="177"/>
      <c r="E961" s="147">
        <f t="shared" si="43"/>
        <v>0</v>
      </c>
    </row>
    <row r="962" spans="1:5">
      <c r="A962" s="305" t="s">
        <v>179</v>
      </c>
      <c r="B962" s="616"/>
      <c r="C962" s="338"/>
      <c r="D962" s="338"/>
      <c r="E962" s="616">
        <f t="shared" si="43"/>
        <v>0</v>
      </c>
    </row>
    <row r="963" spans="1:5">
      <c r="A963" s="94" t="s">
        <v>428</v>
      </c>
      <c r="B963" s="151">
        <v>192700</v>
      </c>
      <c r="C963" s="151"/>
      <c r="D963" s="151"/>
      <c r="E963" s="151">
        <f t="shared" si="43"/>
        <v>192700</v>
      </c>
    </row>
    <row r="964" spans="1:5">
      <c r="A964" s="135"/>
      <c r="B964" s="148"/>
      <c r="C964" s="180"/>
      <c r="D964" s="180"/>
      <c r="E964" s="148">
        <f t="shared" si="43"/>
        <v>0</v>
      </c>
    </row>
    <row r="965" spans="1:5" ht="15">
      <c r="A965" s="300" t="s">
        <v>256</v>
      </c>
      <c r="B965" s="154">
        <f>SUM(B966)</f>
        <v>5500</v>
      </c>
      <c r="C965" s="179"/>
      <c r="D965" s="179"/>
      <c r="E965" s="154">
        <f t="shared" si="43"/>
        <v>5500</v>
      </c>
    </row>
    <row r="966" spans="1:5">
      <c r="A966" s="298" t="s">
        <v>446</v>
      </c>
      <c r="B966" s="147">
        <v>5500</v>
      </c>
      <c r="C966" s="177"/>
      <c r="D966" s="177"/>
      <c r="E966" s="147">
        <f t="shared" si="43"/>
        <v>5500</v>
      </c>
    </row>
    <row r="967" spans="1:5">
      <c r="A967" s="298"/>
      <c r="B967" s="147"/>
      <c r="C967" s="177"/>
      <c r="D967" s="177"/>
      <c r="E967" s="147">
        <f t="shared" ref="E967:E1030" si="44">SUM(B967:D967)</f>
        <v>0</v>
      </c>
    </row>
    <row r="968" spans="1:5" ht="15">
      <c r="A968" s="300" t="s">
        <v>186</v>
      </c>
      <c r="B968" s="154">
        <f>SUM(B969)</f>
        <v>1099074</v>
      </c>
      <c r="C968" s="179">
        <f>SUM(C969)</f>
        <v>1113</v>
      </c>
      <c r="D968" s="179"/>
      <c r="E968" s="154">
        <f t="shared" si="44"/>
        <v>1100187</v>
      </c>
    </row>
    <row r="969" spans="1:5">
      <c r="A969" s="298" t="s">
        <v>472</v>
      </c>
      <c r="B969" s="147">
        <f>1041377+55563+2134</f>
        <v>1099074</v>
      </c>
      <c r="C969" s="177">
        <v>1113</v>
      </c>
      <c r="D969" s="177"/>
      <c r="E969" s="147">
        <f t="shared" si="44"/>
        <v>1100187</v>
      </c>
    </row>
    <row r="970" spans="1:5">
      <c r="A970" s="81" t="s">
        <v>173</v>
      </c>
      <c r="B970" s="100">
        <f>547980+41527+1595</f>
        <v>591102</v>
      </c>
      <c r="C970" s="100"/>
      <c r="D970" s="100"/>
      <c r="E970" s="100">
        <f t="shared" si="44"/>
        <v>591102</v>
      </c>
    </row>
    <row r="971" spans="1:5">
      <c r="A971" s="84"/>
      <c r="B971" s="616"/>
      <c r="C971" s="338"/>
      <c r="D971" s="338"/>
      <c r="E971" s="616">
        <f t="shared" si="44"/>
        <v>0</v>
      </c>
    </row>
    <row r="972" spans="1:5">
      <c r="A972" s="90" t="s">
        <v>172</v>
      </c>
      <c r="B972" s="147">
        <f>SUM(B974,B977,B980,B982,B984,B990,B993,B996)</f>
        <v>1936995</v>
      </c>
      <c r="C972" s="177">
        <f>SUM(C974,C977,C980,C982,C984,C990,C993,C996,C1001,C1006,C1011)</f>
        <v>129559</v>
      </c>
      <c r="D972" s="177">
        <f>SUM(D974,D977,D980,D982,D984,D990,D993,D996,D1016)</f>
        <v>8915</v>
      </c>
      <c r="E972" s="147">
        <f t="shared" si="44"/>
        <v>2075469</v>
      </c>
    </row>
    <row r="973" spans="1:5">
      <c r="A973" s="90"/>
      <c r="B973" s="149"/>
      <c r="C973" s="152"/>
      <c r="D973" s="152"/>
      <c r="E973" s="149">
        <f t="shared" si="44"/>
        <v>0</v>
      </c>
    </row>
    <row r="974" spans="1:5">
      <c r="A974" s="77" t="s">
        <v>711</v>
      </c>
      <c r="B974" s="151">
        <f>1017168+10212+1478</f>
        <v>1028858</v>
      </c>
      <c r="C974" s="183">
        <v>3021</v>
      </c>
      <c r="D974" s="71">
        <f>-3000+9099-3646</f>
        <v>2453</v>
      </c>
      <c r="E974" s="151">
        <f t="shared" si="44"/>
        <v>1034332</v>
      </c>
    </row>
    <row r="975" spans="1:5">
      <c r="A975" s="78" t="s">
        <v>173</v>
      </c>
      <c r="B975" s="100">
        <f>685107+7632+1105</f>
        <v>693844</v>
      </c>
      <c r="C975" s="188">
        <v>4500</v>
      </c>
      <c r="D975" s="87">
        <f>6800-2725</f>
        <v>4075</v>
      </c>
      <c r="E975" s="100">
        <f t="shared" si="44"/>
        <v>702419</v>
      </c>
    </row>
    <row r="976" spans="1:5">
      <c r="A976" s="82"/>
      <c r="B976" s="151"/>
      <c r="C976" s="183"/>
      <c r="D976" s="183"/>
      <c r="E976" s="151">
        <f t="shared" si="44"/>
        <v>0</v>
      </c>
    </row>
    <row r="977" spans="1:5">
      <c r="A977" s="86" t="s">
        <v>377</v>
      </c>
      <c r="B977" s="151">
        <v>102653</v>
      </c>
      <c r="C977" s="183"/>
      <c r="D977" s="183"/>
      <c r="E977" s="151">
        <f t="shared" si="44"/>
        <v>102653</v>
      </c>
    </row>
    <row r="978" spans="1:5">
      <c r="A978" s="78" t="s">
        <v>173</v>
      </c>
      <c r="B978" s="296">
        <v>36900</v>
      </c>
      <c r="C978" s="342"/>
      <c r="D978" s="342"/>
      <c r="E978" s="296">
        <f t="shared" si="44"/>
        <v>36900</v>
      </c>
    </row>
    <row r="979" spans="1:5">
      <c r="A979" s="189"/>
      <c r="B979" s="151"/>
      <c r="C979" s="183"/>
      <c r="D979" s="183"/>
      <c r="E979" s="151">
        <f t="shared" si="44"/>
        <v>0</v>
      </c>
    </row>
    <row r="980" spans="1:5">
      <c r="A980" s="82" t="s">
        <v>100</v>
      </c>
      <c r="B980" s="151">
        <v>235000</v>
      </c>
      <c r="C980" s="183">
        <v>-2097</v>
      </c>
      <c r="D980" s="183">
        <v>-611</v>
      </c>
      <c r="E980" s="151">
        <f t="shared" si="44"/>
        <v>232292</v>
      </c>
    </row>
    <row r="981" spans="1:5">
      <c r="A981" s="90"/>
      <c r="B981" s="149"/>
      <c r="C981" s="152"/>
      <c r="D981" s="152"/>
      <c r="E981" s="149">
        <f t="shared" si="44"/>
        <v>0</v>
      </c>
    </row>
    <row r="982" spans="1:5">
      <c r="A982" s="77" t="s">
        <v>257</v>
      </c>
      <c r="B982" s="148">
        <v>105400</v>
      </c>
      <c r="C982" s="180"/>
      <c r="D982" s="180"/>
      <c r="E982" s="148">
        <f t="shared" si="44"/>
        <v>105400</v>
      </c>
    </row>
    <row r="983" spans="1:5">
      <c r="A983" s="136"/>
      <c r="B983" s="149"/>
      <c r="C983" s="152"/>
      <c r="D983" s="152"/>
      <c r="E983" s="149">
        <f t="shared" si="44"/>
        <v>0</v>
      </c>
    </row>
    <row r="984" spans="1:5">
      <c r="A984" s="86" t="s">
        <v>261</v>
      </c>
      <c r="B984" s="151">
        <v>390000</v>
      </c>
      <c r="C984" s="183"/>
      <c r="D984" s="183"/>
      <c r="E984" s="151">
        <f t="shared" si="44"/>
        <v>390000</v>
      </c>
    </row>
    <row r="985" spans="1:5">
      <c r="A985" s="107" t="s">
        <v>434</v>
      </c>
      <c r="B985" s="621"/>
      <c r="C985" s="622"/>
      <c r="D985" s="622"/>
      <c r="E985" s="623">
        <f t="shared" si="44"/>
        <v>0</v>
      </c>
    </row>
    <row r="986" spans="1:5">
      <c r="A986" s="115" t="s">
        <v>99</v>
      </c>
      <c r="B986" s="621"/>
      <c r="C986" s="622"/>
      <c r="D986" s="622"/>
      <c r="E986" s="623">
        <f t="shared" si="44"/>
        <v>0</v>
      </c>
    </row>
    <row r="987" spans="1:5">
      <c r="A987" s="115" t="s">
        <v>49</v>
      </c>
      <c r="B987" s="621"/>
      <c r="C987" s="622"/>
      <c r="D987" s="622"/>
      <c r="E987" s="623">
        <f t="shared" si="44"/>
        <v>0</v>
      </c>
    </row>
    <row r="988" spans="1:5">
      <c r="A988" s="115" t="s">
        <v>50</v>
      </c>
      <c r="B988" s="621"/>
      <c r="C988" s="622"/>
      <c r="D988" s="622"/>
      <c r="E988" s="623">
        <f t="shared" si="44"/>
        <v>0</v>
      </c>
    </row>
    <row r="989" spans="1:5">
      <c r="A989" s="78"/>
      <c r="B989" s="100"/>
      <c r="C989" s="188"/>
      <c r="D989" s="188"/>
      <c r="E989" s="100">
        <f t="shared" si="44"/>
        <v>0</v>
      </c>
    </row>
    <row r="990" spans="1:5">
      <c r="A990" s="77" t="s">
        <v>570</v>
      </c>
      <c r="B990" s="148">
        <v>31500</v>
      </c>
      <c r="C990" s="180"/>
      <c r="D990" s="180">
        <v>3000</v>
      </c>
      <c r="E990" s="148">
        <f t="shared" si="44"/>
        <v>34500</v>
      </c>
    </row>
    <row r="991" spans="1:5">
      <c r="A991" s="78" t="s">
        <v>173</v>
      </c>
      <c r="B991" s="100">
        <v>6600</v>
      </c>
      <c r="C991" s="188"/>
      <c r="D991" s="188"/>
      <c r="E991" s="100">
        <f t="shared" si="44"/>
        <v>6600</v>
      </c>
    </row>
    <row r="992" spans="1:5">
      <c r="A992" s="125"/>
      <c r="B992" s="624"/>
      <c r="C992" s="190"/>
      <c r="D992" s="190"/>
      <c r="E992" s="624">
        <f t="shared" si="44"/>
        <v>0</v>
      </c>
    </row>
    <row r="993" spans="1:6">
      <c r="A993" s="77" t="s">
        <v>101</v>
      </c>
      <c r="B993" s="148">
        <v>19100</v>
      </c>
      <c r="C993" s="180">
        <v>1600</v>
      </c>
      <c r="D993" s="180"/>
      <c r="E993" s="148">
        <f t="shared" si="44"/>
        <v>20700</v>
      </c>
    </row>
    <row r="994" spans="1:6">
      <c r="A994" s="78" t="s">
        <v>173</v>
      </c>
      <c r="B994" s="148"/>
      <c r="C994" s="188">
        <v>13900</v>
      </c>
      <c r="D994" s="188"/>
      <c r="E994" s="148">
        <f t="shared" si="44"/>
        <v>13900</v>
      </c>
    </row>
    <row r="995" spans="1:6">
      <c r="A995" s="77"/>
      <c r="B995" s="148"/>
      <c r="C995" s="180"/>
      <c r="D995" s="180"/>
      <c r="E995" s="148">
        <f t="shared" si="44"/>
        <v>0</v>
      </c>
    </row>
    <row r="996" spans="1:6" ht="25.5">
      <c r="A996" s="86" t="s">
        <v>697</v>
      </c>
      <c r="B996" s="151">
        <v>24484</v>
      </c>
      <c r="C996" s="151"/>
      <c r="D996" s="151"/>
      <c r="E996" s="151">
        <f t="shared" si="44"/>
        <v>24484</v>
      </c>
    </row>
    <row r="997" spans="1:6">
      <c r="A997" s="78" t="s">
        <v>173</v>
      </c>
      <c r="B997" s="296">
        <v>12197</v>
      </c>
      <c r="C997" s="296"/>
      <c r="D997" s="296"/>
      <c r="E997" s="296">
        <f t="shared" si="44"/>
        <v>12197</v>
      </c>
    </row>
    <row r="998" spans="1:6">
      <c r="A998" s="125"/>
      <c r="B998" s="296"/>
      <c r="C998" s="296"/>
      <c r="D998" s="296"/>
      <c r="E998" s="296">
        <f t="shared" si="44"/>
        <v>0</v>
      </c>
    </row>
    <row r="999" spans="1:6">
      <c r="A999" s="88" t="s">
        <v>184</v>
      </c>
      <c r="B999" s="296">
        <v>24484</v>
      </c>
      <c r="C999" s="296"/>
      <c r="D999" s="296"/>
      <c r="E999" s="296">
        <f t="shared" si="44"/>
        <v>24484</v>
      </c>
    </row>
    <row r="1000" spans="1:6">
      <c r="A1000" s="88"/>
      <c r="B1000" s="296"/>
      <c r="C1000" s="296"/>
      <c r="D1000" s="296"/>
      <c r="E1000" s="296">
        <f t="shared" si="44"/>
        <v>0</v>
      </c>
    </row>
    <row r="1001" spans="1:6" ht="25.5">
      <c r="A1001" s="86" t="s">
        <v>763</v>
      </c>
      <c r="B1001" s="296"/>
      <c r="C1001" s="180">
        <f>11878+2097</f>
        <v>13975</v>
      </c>
      <c r="D1001" s="180"/>
      <c r="E1001" s="296">
        <f t="shared" si="44"/>
        <v>13975</v>
      </c>
    </row>
    <row r="1002" spans="1:6">
      <c r="A1002" s="78" t="s">
        <v>173</v>
      </c>
      <c r="B1002" s="296"/>
      <c r="C1002" s="188">
        <v>5560</v>
      </c>
      <c r="D1002" s="188"/>
      <c r="E1002" s="296">
        <f t="shared" si="44"/>
        <v>5560</v>
      </c>
    </row>
    <row r="1003" spans="1:6" ht="14.25" customHeight="1">
      <c r="A1003" s="125"/>
      <c r="B1003" s="296"/>
      <c r="C1003" s="296"/>
      <c r="D1003" s="296"/>
      <c r="E1003" s="296">
        <f t="shared" si="44"/>
        <v>0</v>
      </c>
    </row>
    <row r="1004" spans="1:6">
      <c r="A1004" s="88" t="s">
        <v>184</v>
      </c>
      <c r="B1004" s="296"/>
      <c r="C1004" s="296">
        <v>11878</v>
      </c>
      <c r="D1004" s="296"/>
      <c r="E1004" s="296">
        <f t="shared" si="44"/>
        <v>11878</v>
      </c>
    </row>
    <row r="1005" spans="1:6" s="286" customFormat="1">
      <c r="A1005" s="282"/>
      <c r="B1005" s="296"/>
      <c r="C1005" s="296"/>
      <c r="D1005" s="296"/>
      <c r="E1005" s="296">
        <f t="shared" si="44"/>
        <v>0</v>
      </c>
      <c r="F1005" s="250"/>
    </row>
    <row r="1006" spans="1:6" ht="25.5">
      <c r="A1006" s="86" t="s">
        <v>764</v>
      </c>
      <c r="B1006" s="296"/>
      <c r="C1006" s="180">
        <f>67310+11878</f>
        <v>79188</v>
      </c>
      <c r="D1006" s="180"/>
      <c r="E1006" s="296">
        <f t="shared" si="44"/>
        <v>79188</v>
      </c>
    </row>
    <row r="1007" spans="1:6">
      <c r="A1007" s="78" t="s">
        <v>173</v>
      </c>
      <c r="B1007" s="296"/>
      <c r="C1007" s="188">
        <v>44766</v>
      </c>
      <c r="D1007" s="188"/>
      <c r="E1007" s="296">
        <f t="shared" si="44"/>
        <v>44766</v>
      </c>
    </row>
    <row r="1008" spans="1:6">
      <c r="A1008" s="125"/>
      <c r="B1008" s="296"/>
      <c r="C1008" s="296"/>
      <c r="D1008" s="296"/>
      <c r="E1008" s="296">
        <f t="shared" si="44"/>
        <v>0</v>
      </c>
    </row>
    <row r="1009" spans="1:5">
      <c r="A1009" s="88" t="s">
        <v>184</v>
      </c>
      <c r="B1009" s="296"/>
      <c r="C1009" s="296">
        <v>67310</v>
      </c>
      <c r="D1009" s="296"/>
      <c r="E1009" s="296">
        <f t="shared" si="44"/>
        <v>67310</v>
      </c>
    </row>
    <row r="1010" spans="1:5">
      <c r="A1010" s="88"/>
      <c r="B1010" s="296"/>
      <c r="C1010" s="296"/>
      <c r="D1010" s="296"/>
      <c r="E1010" s="296">
        <f t="shared" si="44"/>
        <v>0</v>
      </c>
    </row>
    <row r="1011" spans="1:5" ht="38.25">
      <c r="A1011" s="86" t="s">
        <v>765</v>
      </c>
      <c r="B1011" s="296"/>
      <c r="C1011" s="180">
        <v>33872</v>
      </c>
      <c r="D1011" s="180"/>
      <c r="E1011" s="296">
        <f t="shared" si="44"/>
        <v>33872</v>
      </c>
    </row>
    <row r="1012" spans="1:5">
      <c r="A1012" s="78" t="s">
        <v>173</v>
      </c>
      <c r="B1012" s="296"/>
      <c r="C1012" s="188">
        <v>11709</v>
      </c>
      <c r="D1012" s="188"/>
      <c r="E1012" s="296">
        <f t="shared" si="44"/>
        <v>11709</v>
      </c>
    </row>
    <row r="1013" spans="1:5">
      <c r="A1013" s="125"/>
      <c r="B1013" s="296"/>
      <c r="C1013" s="296"/>
      <c r="D1013" s="296"/>
      <c r="E1013" s="296">
        <f t="shared" si="44"/>
        <v>0</v>
      </c>
    </row>
    <row r="1014" spans="1:5">
      <c r="A1014" s="88" t="s">
        <v>184</v>
      </c>
      <c r="B1014" s="296"/>
      <c r="C1014" s="296">
        <v>28791</v>
      </c>
      <c r="D1014" s="296"/>
      <c r="E1014" s="296">
        <f t="shared" si="44"/>
        <v>28791</v>
      </c>
    </row>
    <row r="1015" spans="1:5">
      <c r="A1015" s="77"/>
      <c r="B1015" s="288"/>
      <c r="E1015" s="288">
        <f t="shared" si="44"/>
        <v>0</v>
      </c>
    </row>
    <row r="1016" spans="1:5" ht="25.5">
      <c r="A1016" s="86" t="s">
        <v>1093</v>
      </c>
      <c r="B1016" s="296"/>
      <c r="C1016" s="296"/>
      <c r="D1016" s="276">
        <v>4073</v>
      </c>
      <c r="E1016" s="296">
        <f t="shared" si="44"/>
        <v>4073</v>
      </c>
    </row>
    <row r="1017" spans="1:5" s="343" customFormat="1">
      <c r="A1017" s="78" t="s">
        <v>173</v>
      </c>
      <c r="B1017" s="296"/>
      <c r="C1017" s="296"/>
      <c r="D1017" s="87">
        <v>1291</v>
      </c>
      <c r="E1017" s="296">
        <f t="shared" si="44"/>
        <v>1291</v>
      </c>
    </row>
    <row r="1018" spans="1:5" s="343" customFormat="1">
      <c r="A1018" s="125"/>
      <c r="B1018" s="296"/>
      <c r="C1018" s="296"/>
      <c r="D1018" s="594"/>
      <c r="E1018" s="296">
        <f t="shared" si="44"/>
        <v>0</v>
      </c>
    </row>
    <row r="1019" spans="1:5" s="343" customFormat="1">
      <c r="A1019" s="88" t="s">
        <v>184</v>
      </c>
      <c r="B1019" s="296"/>
      <c r="C1019" s="296"/>
      <c r="D1019" s="587">
        <v>3462</v>
      </c>
      <c r="E1019" s="296">
        <f t="shared" si="44"/>
        <v>3462</v>
      </c>
    </row>
    <row r="1020" spans="1:5" s="343" customFormat="1">
      <c r="A1020" s="77"/>
      <c r="B1020" s="288"/>
      <c r="C1020" s="278"/>
      <c r="D1020" s="278"/>
      <c r="E1020" s="288">
        <f t="shared" si="44"/>
        <v>0</v>
      </c>
    </row>
    <row r="1021" spans="1:5" s="343" customFormat="1">
      <c r="A1021" s="77"/>
      <c r="B1021" s="288"/>
      <c r="C1021" s="278"/>
      <c r="D1021" s="278"/>
      <c r="E1021" s="288">
        <f t="shared" si="44"/>
        <v>0</v>
      </c>
    </row>
    <row r="1022" spans="1:5" s="343" customFormat="1" ht="15.75">
      <c r="A1022" s="89" t="s">
        <v>157</v>
      </c>
      <c r="B1022" s="288"/>
      <c r="C1022" s="278"/>
      <c r="D1022" s="278"/>
      <c r="E1022" s="288">
        <f t="shared" si="44"/>
        <v>0</v>
      </c>
    </row>
    <row r="1023" spans="1:5" s="343" customFormat="1">
      <c r="A1023" s="293"/>
      <c r="B1023" s="288"/>
      <c r="C1023" s="278"/>
      <c r="D1023" s="278"/>
      <c r="E1023" s="288">
        <f t="shared" si="44"/>
        <v>0</v>
      </c>
    </row>
    <row r="1024" spans="1:5" s="343" customFormat="1">
      <c r="A1024" s="90" t="s">
        <v>168</v>
      </c>
      <c r="B1024" s="147">
        <f>SUM(B1031,B1034,B1036,B1038,B1040,B1042)</f>
        <v>3638325</v>
      </c>
      <c r="C1024" s="177">
        <f>SUM(C1031,C1034,C1036,C1038,C1040,C1042,C1047)</f>
        <v>27000</v>
      </c>
      <c r="D1024" s="177">
        <f>SUM(D1031,D1034,D1036,D1038,D1040,D1042)</f>
        <v>-84751</v>
      </c>
      <c r="E1024" s="147">
        <f t="shared" si="44"/>
        <v>3580574</v>
      </c>
    </row>
    <row r="1025" spans="1:6">
      <c r="A1025" s="67" t="s">
        <v>185</v>
      </c>
      <c r="B1025" s="149">
        <v>89000</v>
      </c>
      <c r="C1025" s="149"/>
      <c r="D1025" s="149"/>
      <c r="E1025" s="149">
        <f t="shared" si="44"/>
        <v>89000</v>
      </c>
    </row>
    <row r="1026" spans="1:6">
      <c r="A1026" s="91" t="s">
        <v>169</v>
      </c>
      <c r="B1026" s="147">
        <f>SUM(B1027:B1029)</f>
        <v>3638325</v>
      </c>
      <c r="C1026" s="177">
        <f>SUM(C1027:C1029)</f>
        <v>27000</v>
      </c>
      <c r="D1026" s="177">
        <f>SUM(D1027:D1029)</f>
        <v>-84751</v>
      </c>
      <c r="E1026" s="147">
        <f t="shared" si="44"/>
        <v>3580574</v>
      </c>
    </row>
    <row r="1027" spans="1:6">
      <c r="A1027" s="92" t="s">
        <v>170</v>
      </c>
      <c r="B1027" s="149">
        <v>13550</v>
      </c>
      <c r="C1027" s="152">
        <v>0</v>
      </c>
      <c r="D1027" s="152"/>
      <c r="E1027" s="149">
        <f t="shared" si="44"/>
        <v>13550</v>
      </c>
    </row>
    <row r="1028" spans="1:6">
      <c r="A1028" s="93" t="s">
        <v>152</v>
      </c>
      <c r="B1028" s="149">
        <v>42341</v>
      </c>
      <c r="C1028" s="152">
        <v>22950</v>
      </c>
      <c r="D1028" s="152"/>
      <c r="E1028" s="149">
        <f t="shared" si="44"/>
        <v>65291</v>
      </c>
    </row>
    <row r="1029" spans="1:6">
      <c r="A1029" s="93" t="s">
        <v>171</v>
      </c>
      <c r="B1029" s="149">
        <f>B1024-B1027-B1028</f>
        <v>3582434</v>
      </c>
      <c r="C1029" s="152">
        <f>C1024-C1027-C1028</f>
        <v>4050</v>
      </c>
      <c r="D1029" s="152">
        <f>D1024-D1027-D1028</f>
        <v>-84751</v>
      </c>
      <c r="E1029" s="149">
        <f t="shared" si="44"/>
        <v>3501733</v>
      </c>
    </row>
    <row r="1030" spans="1:6">
      <c r="A1030" s="293"/>
      <c r="B1030" s="288"/>
      <c r="E1030" s="288">
        <f t="shared" si="44"/>
        <v>0</v>
      </c>
    </row>
    <row r="1031" spans="1:6">
      <c r="A1031" s="82" t="s">
        <v>712</v>
      </c>
      <c r="B1031" s="288">
        <f>2717426+12138+1856+3392</f>
        <v>2734812</v>
      </c>
      <c r="C1031" s="306">
        <v>8316</v>
      </c>
      <c r="D1031" s="85">
        <v>-4751</v>
      </c>
      <c r="E1031" s="288">
        <f t="shared" ref="E1031:E1094" si="45">SUM(B1031:D1031)</f>
        <v>2738377</v>
      </c>
    </row>
    <row r="1032" spans="1:6">
      <c r="A1032" s="78" t="s">
        <v>173</v>
      </c>
      <c r="B1032" s="289">
        <f>1916957+9072+1376+2535</f>
        <v>1929940</v>
      </c>
      <c r="C1032" s="289">
        <v>6215</v>
      </c>
      <c r="D1032" s="87">
        <v>-3551</v>
      </c>
      <c r="E1032" s="289">
        <f t="shared" si="45"/>
        <v>1932604</v>
      </c>
    </row>
    <row r="1033" spans="1:6" s="286" customFormat="1">
      <c r="A1033" s="78"/>
      <c r="B1033" s="289"/>
      <c r="C1033" s="278"/>
      <c r="D1033" s="278"/>
      <c r="E1033" s="289">
        <f t="shared" si="45"/>
        <v>0</v>
      </c>
      <c r="F1033" s="250"/>
    </row>
    <row r="1034" spans="1:6">
      <c r="A1034" s="82" t="s">
        <v>429</v>
      </c>
      <c r="B1034" s="288">
        <v>447400</v>
      </c>
      <c r="E1034" s="288">
        <f t="shared" si="45"/>
        <v>447400</v>
      </c>
    </row>
    <row r="1035" spans="1:6">
      <c r="A1035" s="82"/>
      <c r="B1035" s="289"/>
      <c r="E1035" s="289">
        <f t="shared" si="45"/>
        <v>0</v>
      </c>
    </row>
    <row r="1036" spans="1:6">
      <c r="A1036" s="82" t="s">
        <v>624</v>
      </c>
      <c r="B1036" s="288">
        <v>215000</v>
      </c>
      <c r="D1036" s="85">
        <v>-80000</v>
      </c>
      <c r="E1036" s="288">
        <f t="shared" si="45"/>
        <v>135000</v>
      </c>
    </row>
    <row r="1037" spans="1:6">
      <c r="A1037" s="119"/>
      <c r="B1037" s="289"/>
      <c r="E1037" s="289">
        <f t="shared" si="45"/>
        <v>0</v>
      </c>
    </row>
    <row r="1038" spans="1:6">
      <c r="A1038" s="77" t="s">
        <v>411</v>
      </c>
      <c r="B1038" s="288">
        <f>100000+78600</f>
        <v>178600</v>
      </c>
      <c r="C1038" s="306">
        <v>-8316</v>
      </c>
      <c r="D1038" s="306"/>
      <c r="E1038" s="288">
        <f t="shared" si="45"/>
        <v>170284</v>
      </c>
    </row>
    <row r="1039" spans="1:6">
      <c r="A1039" s="120"/>
      <c r="B1039" s="288"/>
      <c r="E1039" s="288">
        <f t="shared" si="45"/>
        <v>0</v>
      </c>
    </row>
    <row r="1040" spans="1:6" ht="25.5">
      <c r="A1040" s="79" t="s">
        <v>52</v>
      </c>
      <c r="B1040" s="288">
        <v>12700</v>
      </c>
      <c r="E1040" s="288">
        <f t="shared" si="45"/>
        <v>12700</v>
      </c>
    </row>
    <row r="1041" spans="1:6">
      <c r="A1041" s="79"/>
      <c r="B1041" s="288"/>
      <c r="E1041" s="288">
        <f t="shared" si="45"/>
        <v>0</v>
      </c>
    </row>
    <row r="1042" spans="1:6" ht="25.5">
      <c r="A1042" s="79" t="s">
        <v>698</v>
      </c>
      <c r="B1042" s="288">
        <v>49813</v>
      </c>
      <c r="C1042" s="343"/>
      <c r="D1042" s="343"/>
      <c r="E1042" s="288">
        <f t="shared" si="45"/>
        <v>49813</v>
      </c>
    </row>
    <row r="1043" spans="1:6">
      <c r="A1043" s="78" t="s">
        <v>173</v>
      </c>
      <c r="B1043" s="289">
        <v>28700</v>
      </c>
      <c r="C1043" s="343"/>
      <c r="D1043" s="343"/>
      <c r="E1043" s="289">
        <f t="shared" si="45"/>
        <v>28700</v>
      </c>
    </row>
    <row r="1044" spans="1:6">
      <c r="A1044" s="343"/>
      <c r="B1044" s="625"/>
      <c r="C1044" s="343"/>
      <c r="D1044" s="343"/>
      <c r="E1044" s="625">
        <f t="shared" si="45"/>
        <v>0</v>
      </c>
    </row>
    <row r="1045" spans="1:6" s="286" customFormat="1">
      <c r="A1045" s="78" t="s">
        <v>184</v>
      </c>
      <c r="B1045" s="296">
        <v>42341</v>
      </c>
      <c r="C1045" s="343"/>
      <c r="D1045" s="343"/>
      <c r="E1045" s="296">
        <f t="shared" si="45"/>
        <v>42341</v>
      </c>
      <c r="F1045" s="250"/>
    </row>
    <row r="1046" spans="1:6">
      <c r="A1046" s="78"/>
      <c r="B1046" s="296"/>
      <c r="C1046" s="343"/>
      <c r="D1046" s="343"/>
      <c r="E1046" s="296">
        <f t="shared" si="45"/>
        <v>0</v>
      </c>
    </row>
    <row r="1047" spans="1:6" ht="38.25">
      <c r="A1047" s="79" t="s">
        <v>766</v>
      </c>
      <c r="B1047" s="296"/>
      <c r="C1047" s="288">
        <v>27000</v>
      </c>
      <c r="D1047" s="288"/>
      <c r="E1047" s="296">
        <f t="shared" si="45"/>
        <v>27000</v>
      </c>
    </row>
    <row r="1048" spans="1:6">
      <c r="A1048" s="88"/>
      <c r="B1048" s="296"/>
      <c r="C1048" s="340"/>
      <c r="D1048" s="340"/>
      <c r="E1048" s="296">
        <f t="shared" si="45"/>
        <v>0</v>
      </c>
    </row>
    <row r="1049" spans="1:6">
      <c r="A1049" s="88" t="s">
        <v>184</v>
      </c>
      <c r="B1049" s="296"/>
      <c r="C1049" s="296">
        <v>22950</v>
      </c>
      <c r="D1049" s="296"/>
      <c r="E1049" s="296">
        <f t="shared" si="45"/>
        <v>22950</v>
      </c>
    </row>
    <row r="1050" spans="1:6">
      <c r="A1050" s="77"/>
      <c r="B1050" s="288"/>
      <c r="E1050" s="288">
        <f t="shared" si="45"/>
        <v>0</v>
      </c>
    </row>
    <row r="1051" spans="1:6">
      <c r="A1051" s="77"/>
      <c r="B1051" s="288"/>
      <c r="E1051" s="288">
        <f t="shared" si="45"/>
        <v>0</v>
      </c>
    </row>
    <row r="1052" spans="1:6" ht="15.75">
      <c r="A1052" s="95" t="s">
        <v>162</v>
      </c>
      <c r="B1052" s="151"/>
      <c r="E1052" s="151">
        <f t="shared" si="45"/>
        <v>0</v>
      </c>
    </row>
    <row r="1053" spans="1:6">
      <c r="A1053" s="90"/>
      <c r="B1053" s="151"/>
      <c r="E1053" s="151">
        <f t="shared" si="45"/>
        <v>0</v>
      </c>
    </row>
    <row r="1054" spans="1:6">
      <c r="A1054" s="90" t="s">
        <v>168</v>
      </c>
      <c r="B1054" s="147">
        <f>SUM(B1059)</f>
        <v>2844806</v>
      </c>
      <c r="C1054" s="177">
        <f>SUM(C1059)</f>
        <v>15274</v>
      </c>
      <c r="D1054" s="177">
        <f>SUM(D1059)</f>
        <v>-3795</v>
      </c>
      <c r="E1054" s="147">
        <f t="shared" si="45"/>
        <v>2856285</v>
      </c>
    </row>
    <row r="1055" spans="1:6">
      <c r="A1055" s="92" t="s">
        <v>185</v>
      </c>
      <c r="B1055" s="149">
        <v>2245</v>
      </c>
      <c r="C1055" s="149"/>
      <c r="D1055" s="149">
        <v>-1440</v>
      </c>
      <c r="E1055" s="149">
        <f t="shared" si="45"/>
        <v>805</v>
      </c>
    </row>
    <row r="1056" spans="1:6">
      <c r="A1056" s="91" t="s">
        <v>169</v>
      </c>
      <c r="B1056" s="147">
        <f>SUM(B1057)</f>
        <v>2844806</v>
      </c>
      <c r="C1056" s="177">
        <f>SUM(C1057)</f>
        <v>15274</v>
      </c>
      <c r="D1056" s="177">
        <f>SUM(D1057)</f>
        <v>-3795</v>
      </c>
      <c r="E1056" s="147">
        <f t="shared" si="45"/>
        <v>2856285</v>
      </c>
    </row>
    <row r="1057" spans="1:5">
      <c r="A1057" s="92" t="s">
        <v>248</v>
      </c>
      <c r="B1057" s="149">
        <f>B1054</f>
        <v>2844806</v>
      </c>
      <c r="C1057" s="152">
        <f>C1054</f>
        <v>15274</v>
      </c>
      <c r="D1057" s="152">
        <f>D1054</f>
        <v>-3795</v>
      </c>
      <c r="E1057" s="149">
        <f t="shared" si="45"/>
        <v>2856285</v>
      </c>
    </row>
    <row r="1058" spans="1:5">
      <c r="A1058" s="293"/>
      <c r="B1058" s="288"/>
      <c r="E1058" s="288">
        <f t="shared" si="45"/>
        <v>0</v>
      </c>
    </row>
    <row r="1059" spans="1:5">
      <c r="A1059" s="86" t="s">
        <v>713</v>
      </c>
      <c r="B1059" s="85">
        <f>2840277+10212-8640+2957</f>
        <v>2844806</v>
      </c>
      <c r="C1059" s="85">
        <v>15274</v>
      </c>
      <c r="D1059" s="276">
        <f>2127+6516-12438</f>
        <v>-3795</v>
      </c>
      <c r="E1059" s="85">
        <f t="shared" si="45"/>
        <v>2856285</v>
      </c>
    </row>
    <row r="1060" spans="1:5">
      <c r="A1060" s="78" t="s">
        <v>173</v>
      </c>
      <c r="B1060" s="100">
        <f>1670450+7632+2210</f>
        <v>1680292</v>
      </c>
      <c r="C1060" s="100">
        <v>11314</v>
      </c>
      <c r="D1060" s="87">
        <f>4870-9296</f>
        <v>-4426</v>
      </c>
      <c r="E1060" s="100">
        <f t="shared" si="45"/>
        <v>1687180</v>
      </c>
    </row>
    <row r="1061" spans="1:5">
      <c r="A1061" s="136"/>
      <c r="B1061" s="616"/>
      <c r="E1061" s="616">
        <f t="shared" si="45"/>
        <v>0</v>
      </c>
    </row>
    <row r="1062" spans="1:5">
      <c r="A1062" s="77"/>
      <c r="B1062" s="288"/>
      <c r="E1062" s="288">
        <f t="shared" si="45"/>
        <v>0</v>
      </c>
    </row>
    <row r="1063" spans="1:5" ht="15.75">
      <c r="A1063" s="95" t="s">
        <v>258</v>
      </c>
      <c r="B1063" s="626"/>
      <c r="E1063" s="626">
        <f t="shared" si="45"/>
        <v>0</v>
      </c>
    </row>
    <row r="1064" spans="1:5">
      <c r="A1064" s="293"/>
      <c r="B1064" s="626"/>
      <c r="E1064" s="626">
        <f t="shared" si="45"/>
        <v>0</v>
      </c>
    </row>
    <row r="1065" spans="1:5">
      <c r="A1065" s="90" t="s">
        <v>168</v>
      </c>
      <c r="B1065" s="284">
        <f>B1071+B1081+B1091+B1094+B1075</f>
        <v>1862869</v>
      </c>
      <c r="C1065" s="284">
        <f>C1071+C1081+C1091+C1094+C1075</f>
        <v>6492</v>
      </c>
      <c r="D1065" s="284">
        <f>D1071+D1081+D1091+D1094+D1075</f>
        <v>8281</v>
      </c>
      <c r="E1065" s="284">
        <f t="shared" si="45"/>
        <v>1877642</v>
      </c>
    </row>
    <row r="1066" spans="1:5">
      <c r="A1066" s="67" t="s">
        <v>185</v>
      </c>
      <c r="B1066" s="344">
        <v>320000</v>
      </c>
      <c r="C1066" s="344"/>
      <c r="D1066" s="344"/>
      <c r="E1066" s="344">
        <f t="shared" si="45"/>
        <v>320000</v>
      </c>
    </row>
    <row r="1067" spans="1:5">
      <c r="A1067" s="91" t="s">
        <v>169</v>
      </c>
      <c r="B1067" s="284">
        <f t="shared" ref="B1067:D1067" si="46">B1068+B1069</f>
        <v>1862869</v>
      </c>
      <c r="C1067" s="284">
        <f t="shared" si="46"/>
        <v>6492</v>
      </c>
      <c r="D1067" s="284">
        <f t="shared" si="46"/>
        <v>8281</v>
      </c>
      <c r="E1067" s="284">
        <f t="shared" si="45"/>
        <v>1877642</v>
      </c>
    </row>
    <row r="1068" spans="1:5">
      <c r="A1068" s="92" t="s">
        <v>170</v>
      </c>
      <c r="B1068" s="285">
        <v>345570</v>
      </c>
      <c r="C1068" s="285">
        <v>0</v>
      </c>
      <c r="D1068" s="285">
        <v>4410</v>
      </c>
      <c r="E1068" s="285">
        <f t="shared" si="45"/>
        <v>349980</v>
      </c>
    </row>
    <row r="1069" spans="1:5">
      <c r="A1069" s="93" t="s">
        <v>171</v>
      </c>
      <c r="B1069" s="285">
        <f t="shared" ref="B1069:D1069" si="47">B1065-B1068</f>
        <v>1517299</v>
      </c>
      <c r="C1069" s="285">
        <f t="shared" si="47"/>
        <v>6492</v>
      </c>
      <c r="D1069" s="285">
        <f t="shared" si="47"/>
        <v>3871</v>
      </c>
      <c r="E1069" s="285">
        <f t="shared" si="45"/>
        <v>1527662</v>
      </c>
    </row>
    <row r="1070" spans="1:5">
      <c r="A1070" s="93"/>
      <c r="B1070" s="285"/>
      <c r="C1070" s="285"/>
      <c r="D1070" s="285"/>
      <c r="E1070" s="285">
        <f t="shared" si="45"/>
        <v>0</v>
      </c>
    </row>
    <row r="1071" spans="1:5" ht="15">
      <c r="A1071" s="130" t="s">
        <v>186</v>
      </c>
      <c r="B1071" s="319">
        <f t="shared" ref="B1071:D1071" si="48">B1072</f>
        <v>84601</v>
      </c>
      <c r="C1071" s="319">
        <f t="shared" si="48"/>
        <v>0</v>
      </c>
      <c r="D1071" s="319">
        <f t="shared" si="48"/>
        <v>4970</v>
      </c>
      <c r="E1071" s="319">
        <f t="shared" si="45"/>
        <v>89571</v>
      </c>
    </row>
    <row r="1072" spans="1:5">
      <c r="A1072" s="298" t="s">
        <v>555</v>
      </c>
      <c r="B1072" s="147">
        <f>81460+2875+266</f>
        <v>84601</v>
      </c>
      <c r="C1072" s="147"/>
      <c r="D1072" s="147">
        <v>4970</v>
      </c>
      <c r="E1072" s="147">
        <f t="shared" si="45"/>
        <v>89571</v>
      </c>
    </row>
    <row r="1073" spans="1:5">
      <c r="A1073" s="81" t="s">
        <v>173</v>
      </c>
      <c r="B1073" s="296">
        <f>40871+2149+199</f>
        <v>43219</v>
      </c>
      <c r="C1073" s="296"/>
      <c r="D1073" s="296"/>
      <c r="E1073" s="296">
        <f t="shared" si="45"/>
        <v>43219</v>
      </c>
    </row>
    <row r="1074" spans="1:5">
      <c r="A1074" s="64"/>
      <c r="B1074" s="289"/>
      <c r="C1074" s="289"/>
      <c r="D1074" s="289"/>
      <c r="E1074" s="289">
        <f t="shared" si="45"/>
        <v>0</v>
      </c>
    </row>
    <row r="1075" spans="1:5" ht="15">
      <c r="A1075" s="130" t="s">
        <v>195</v>
      </c>
      <c r="B1075" s="319">
        <f t="shared" ref="B1075:D1075" si="49">B1076</f>
        <v>102217</v>
      </c>
      <c r="C1075" s="319">
        <f t="shared" si="49"/>
        <v>0</v>
      </c>
      <c r="D1075" s="319">
        <f t="shared" si="49"/>
        <v>3900</v>
      </c>
      <c r="E1075" s="319">
        <f t="shared" si="45"/>
        <v>106117</v>
      </c>
    </row>
    <row r="1076" spans="1:5">
      <c r="A1076" s="298" t="s">
        <v>196</v>
      </c>
      <c r="B1076" s="147">
        <f t="shared" ref="B1076:D1076" si="50">B1078</f>
        <v>102217</v>
      </c>
      <c r="C1076" s="147">
        <f t="shared" si="50"/>
        <v>0</v>
      </c>
      <c r="D1076" s="147">
        <f t="shared" si="50"/>
        <v>3900</v>
      </c>
      <c r="E1076" s="147">
        <f t="shared" si="45"/>
        <v>106117</v>
      </c>
    </row>
    <row r="1077" spans="1:5">
      <c r="A1077" s="345" t="s">
        <v>179</v>
      </c>
      <c r="B1077" s="289"/>
      <c r="C1077" s="289"/>
      <c r="D1077" s="289"/>
      <c r="E1077" s="289">
        <f t="shared" si="45"/>
        <v>0</v>
      </c>
    </row>
    <row r="1078" spans="1:5">
      <c r="A1078" s="94" t="s">
        <v>556</v>
      </c>
      <c r="B1078" s="148">
        <v>102217</v>
      </c>
      <c r="C1078" s="148"/>
      <c r="D1078" s="148">
        <v>3900</v>
      </c>
      <c r="E1078" s="148">
        <f t="shared" si="45"/>
        <v>106117</v>
      </c>
    </row>
    <row r="1079" spans="1:5">
      <c r="A1079" s="131" t="s">
        <v>173</v>
      </c>
      <c r="B1079" s="100">
        <v>56707</v>
      </c>
      <c r="C1079" s="100"/>
      <c r="D1079" s="100"/>
      <c r="E1079" s="100">
        <f t="shared" si="45"/>
        <v>56707</v>
      </c>
    </row>
    <row r="1080" spans="1:5">
      <c r="A1080" s="123"/>
      <c r="B1080" s="289"/>
      <c r="C1080" s="289"/>
      <c r="D1080" s="289"/>
      <c r="E1080" s="289">
        <f t="shared" si="45"/>
        <v>0</v>
      </c>
    </row>
    <row r="1081" spans="1:5" ht="15">
      <c r="A1081" s="130" t="s">
        <v>201</v>
      </c>
      <c r="B1081" s="319">
        <f t="shared" ref="B1081:D1081" si="51">B1082</f>
        <v>263160</v>
      </c>
      <c r="C1081" s="319">
        <f t="shared" si="51"/>
        <v>6492</v>
      </c>
      <c r="D1081" s="319">
        <f t="shared" si="51"/>
        <v>-1000</v>
      </c>
      <c r="E1081" s="319">
        <f t="shared" si="45"/>
        <v>268652</v>
      </c>
    </row>
    <row r="1082" spans="1:5" ht="25.5">
      <c r="A1082" s="132" t="s">
        <v>259</v>
      </c>
      <c r="B1082" s="147">
        <f>B1084+B1088</f>
        <v>263160</v>
      </c>
      <c r="C1082" s="147">
        <f>C1084+C1088</f>
        <v>6492</v>
      </c>
      <c r="D1082" s="147">
        <f>D1084+D1088</f>
        <v>-1000</v>
      </c>
      <c r="E1082" s="147">
        <f t="shared" si="45"/>
        <v>268652</v>
      </c>
    </row>
    <row r="1083" spans="1:5">
      <c r="A1083" s="133" t="s">
        <v>179</v>
      </c>
      <c r="B1083" s="149"/>
      <c r="C1083" s="149"/>
      <c r="D1083" s="149"/>
      <c r="E1083" s="149">
        <f t="shared" si="45"/>
        <v>0</v>
      </c>
    </row>
    <row r="1084" spans="1:5">
      <c r="A1084" s="134" t="s">
        <v>473</v>
      </c>
      <c r="B1084" s="148">
        <v>147120</v>
      </c>
      <c r="C1084" s="148">
        <v>3111</v>
      </c>
      <c r="D1084" s="148">
        <v>-1000</v>
      </c>
      <c r="E1084" s="148">
        <f t="shared" si="45"/>
        <v>149231</v>
      </c>
    </row>
    <row r="1085" spans="1:5">
      <c r="A1085" s="84" t="s">
        <v>173</v>
      </c>
      <c r="B1085" s="100">
        <v>86712</v>
      </c>
      <c r="C1085" s="100">
        <v>2325</v>
      </c>
      <c r="D1085" s="100"/>
      <c r="E1085" s="100">
        <f t="shared" si="45"/>
        <v>89037</v>
      </c>
    </row>
    <row r="1086" spans="1:5">
      <c r="A1086" s="84"/>
      <c r="B1086" s="100"/>
      <c r="C1086" s="100"/>
      <c r="D1086" s="100"/>
      <c r="E1086" s="100">
        <f t="shared" si="45"/>
        <v>0</v>
      </c>
    </row>
    <row r="1087" spans="1:5">
      <c r="A1087" s="133" t="s">
        <v>179</v>
      </c>
      <c r="B1087" s="148"/>
      <c r="C1087" s="148"/>
      <c r="D1087" s="148"/>
      <c r="E1087" s="148">
        <f t="shared" si="45"/>
        <v>0</v>
      </c>
    </row>
    <row r="1088" spans="1:5">
      <c r="A1088" s="134" t="s">
        <v>474</v>
      </c>
      <c r="B1088" s="148">
        <v>116040</v>
      </c>
      <c r="C1088" s="148">
        <v>3381</v>
      </c>
      <c r="D1088" s="148"/>
      <c r="E1088" s="148">
        <f t="shared" si="45"/>
        <v>119421</v>
      </c>
    </row>
    <row r="1089" spans="1:6">
      <c r="A1089" s="84" t="s">
        <v>173</v>
      </c>
      <c r="B1089" s="100">
        <v>85890</v>
      </c>
      <c r="C1089" s="100">
        <v>2527</v>
      </c>
      <c r="D1089" s="100"/>
      <c r="E1089" s="100">
        <f t="shared" si="45"/>
        <v>88417</v>
      </c>
    </row>
    <row r="1090" spans="1:6">
      <c r="A1090" s="84"/>
      <c r="B1090" s="100"/>
      <c r="C1090" s="100"/>
      <c r="D1090" s="100"/>
      <c r="E1090" s="100">
        <f t="shared" si="45"/>
        <v>0</v>
      </c>
    </row>
    <row r="1091" spans="1:6" ht="15">
      <c r="A1091" s="130" t="s">
        <v>254</v>
      </c>
      <c r="B1091" s="319">
        <f t="shared" ref="B1091:D1091" si="52">B1092</f>
        <v>136000</v>
      </c>
      <c r="C1091" s="319">
        <f t="shared" si="52"/>
        <v>0</v>
      </c>
      <c r="D1091" s="319">
        <f t="shared" si="52"/>
        <v>0</v>
      </c>
      <c r="E1091" s="319">
        <f t="shared" si="45"/>
        <v>136000</v>
      </c>
    </row>
    <row r="1092" spans="1:6">
      <c r="A1092" s="298" t="s">
        <v>255</v>
      </c>
      <c r="B1092" s="147">
        <v>136000</v>
      </c>
      <c r="C1092" s="147"/>
      <c r="D1092" s="147"/>
      <c r="E1092" s="147">
        <f t="shared" si="45"/>
        <v>136000</v>
      </c>
    </row>
    <row r="1093" spans="1:6">
      <c r="A1093" s="294"/>
      <c r="B1093" s="149"/>
      <c r="C1093" s="149"/>
      <c r="D1093" s="149"/>
      <c r="E1093" s="149">
        <f t="shared" si="45"/>
        <v>0</v>
      </c>
    </row>
    <row r="1094" spans="1:6">
      <c r="A1094" s="137" t="s">
        <v>172</v>
      </c>
      <c r="B1094" s="284">
        <f>B1096+B1099+B1103+B1107+B1109+B1111+B1101+B1105</f>
        <v>1276891</v>
      </c>
      <c r="C1094" s="284">
        <f>C1096+C1099+C1103+C1107+C1109+C1111+C1101+C1105</f>
        <v>0</v>
      </c>
      <c r="D1094" s="284">
        <f>D1096+D1099+D1103+D1107+D1109+D1111+D1101+D1105</f>
        <v>411</v>
      </c>
      <c r="E1094" s="284">
        <f t="shared" si="45"/>
        <v>1277302</v>
      </c>
    </row>
    <row r="1095" spans="1:6">
      <c r="A1095" s="137"/>
      <c r="B1095" s="284"/>
      <c r="C1095" s="284"/>
      <c r="D1095" s="284"/>
      <c r="E1095" s="284">
        <f t="shared" ref="E1095:E1158" si="53">SUM(B1095:D1095)</f>
        <v>0</v>
      </c>
    </row>
    <row r="1096" spans="1:6" s="286" customFormat="1">
      <c r="A1096" s="82" t="s">
        <v>260</v>
      </c>
      <c r="B1096" s="148">
        <f>914055+10533+1913</f>
        <v>926501</v>
      </c>
      <c r="C1096" s="148"/>
      <c r="D1096" s="148">
        <v>3161</v>
      </c>
      <c r="E1096" s="148">
        <f t="shared" si="53"/>
        <v>929662</v>
      </c>
      <c r="F1096" s="250"/>
    </row>
    <row r="1097" spans="1:6">
      <c r="A1097" s="78" t="s">
        <v>173</v>
      </c>
      <c r="B1097" s="100">
        <f>579892+7872+1430</f>
        <v>589194</v>
      </c>
      <c r="C1097" s="100"/>
      <c r="D1097" s="100">
        <v>-1321</v>
      </c>
      <c r="E1097" s="100">
        <f t="shared" si="53"/>
        <v>587873</v>
      </c>
    </row>
    <row r="1098" spans="1:6">
      <c r="A1098" s="82"/>
      <c r="B1098" s="288"/>
      <c r="C1098" s="288"/>
      <c r="D1098" s="288"/>
      <c r="E1098" s="288">
        <f t="shared" si="53"/>
        <v>0</v>
      </c>
    </row>
    <row r="1099" spans="1:6" ht="25.5">
      <c r="A1099" s="138" t="s">
        <v>656</v>
      </c>
      <c r="B1099" s="148">
        <v>56000</v>
      </c>
      <c r="C1099" s="148"/>
      <c r="D1099" s="148">
        <v>3500</v>
      </c>
      <c r="E1099" s="148">
        <f t="shared" si="53"/>
        <v>59500</v>
      </c>
    </row>
    <row r="1100" spans="1:6">
      <c r="A1100" s="291"/>
      <c r="B1100" s="148"/>
      <c r="C1100" s="148"/>
      <c r="D1100" s="148"/>
      <c r="E1100" s="148">
        <f t="shared" si="53"/>
        <v>0</v>
      </c>
    </row>
    <row r="1101" spans="1:6">
      <c r="A1101" s="86" t="s">
        <v>28</v>
      </c>
      <c r="B1101" s="148">
        <v>51070</v>
      </c>
      <c r="C1101" s="148"/>
      <c r="D1101" s="148"/>
      <c r="E1101" s="148">
        <f t="shared" si="53"/>
        <v>51070</v>
      </c>
    </row>
    <row r="1102" spans="1:6">
      <c r="A1102" s="291"/>
      <c r="B1102" s="148"/>
      <c r="C1102" s="148"/>
      <c r="D1102" s="148"/>
      <c r="E1102" s="148">
        <f t="shared" si="53"/>
        <v>0</v>
      </c>
    </row>
    <row r="1103" spans="1:6">
      <c r="A1103" s="86" t="s">
        <v>261</v>
      </c>
      <c r="B1103" s="148">
        <v>31500</v>
      </c>
      <c r="C1103" s="148"/>
      <c r="D1103" s="148"/>
      <c r="E1103" s="148">
        <f t="shared" si="53"/>
        <v>31500</v>
      </c>
    </row>
    <row r="1104" spans="1:6">
      <c r="A1104" s="86"/>
      <c r="B1104" s="148"/>
      <c r="C1104" s="148"/>
      <c r="D1104" s="148"/>
      <c r="E1104" s="148">
        <f t="shared" si="53"/>
        <v>0</v>
      </c>
    </row>
    <row r="1105" spans="1:5">
      <c r="A1105" s="138" t="s">
        <v>415</v>
      </c>
      <c r="B1105" s="148">
        <v>30000</v>
      </c>
      <c r="C1105" s="148"/>
      <c r="D1105" s="148"/>
      <c r="E1105" s="148">
        <f t="shared" si="53"/>
        <v>30000</v>
      </c>
    </row>
    <row r="1106" spans="1:5">
      <c r="A1106" s="86"/>
      <c r="B1106" s="148"/>
      <c r="C1106" s="148"/>
      <c r="D1106" s="148"/>
      <c r="E1106" s="148">
        <f t="shared" si="53"/>
        <v>0</v>
      </c>
    </row>
    <row r="1107" spans="1:5">
      <c r="A1107" s="77" t="s">
        <v>264</v>
      </c>
      <c r="B1107" s="148">
        <v>51000</v>
      </c>
      <c r="C1107" s="148"/>
      <c r="D1107" s="148">
        <v>-8000</v>
      </c>
      <c r="E1107" s="148">
        <f t="shared" si="53"/>
        <v>43000</v>
      </c>
    </row>
    <row r="1108" spans="1:5">
      <c r="A1108" s="294"/>
      <c r="B1108" s="148"/>
      <c r="C1108" s="148"/>
      <c r="D1108" s="148"/>
      <c r="E1108" s="148">
        <f t="shared" si="53"/>
        <v>0</v>
      </c>
    </row>
    <row r="1109" spans="1:5">
      <c r="A1109" s="77" t="s">
        <v>265</v>
      </c>
      <c r="B1109" s="148">
        <v>111820</v>
      </c>
      <c r="C1109" s="148"/>
      <c r="D1109" s="148">
        <v>1750</v>
      </c>
      <c r="E1109" s="148">
        <f t="shared" si="53"/>
        <v>113570</v>
      </c>
    </row>
    <row r="1110" spans="1:5">
      <c r="A1110" s="122"/>
      <c r="B1110" s="148"/>
      <c r="C1110" s="148"/>
      <c r="D1110" s="148"/>
      <c r="E1110" s="148">
        <f t="shared" si="53"/>
        <v>0</v>
      </c>
    </row>
    <row r="1111" spans="1:5">
      <c r="A1111" s="77" t="s">
        <v>22</v>
      </c>
      <c r="B1111" s="148">
        <v>19000</v>
      </c>
      <c r="C1111" s="148"/>
      <c r="D1111" s="148"/>
      <c r="E1111" s="148">
        <f t="shared" si="53"/>
        <v>19000</v>
      </c>
    </row>
    <row r="1112" spans="1:5">
      <c r="A1112" s="77"/>
      <c r="B1112" s="288"/>
      <c r="C1112" s="288"/>
      <c r="D1112" s="288"/>
      <c r="E1112" s="288">
        <f t="shared" si="53"/>
        <v>0</v>
      </c>
    </row>
    <row r="1113" spans="1:5">
      <c r="A1113" s="293"/>
      <c r="B1113" s="288"/>
      <c r="C1113" s="288"/>
      <c r="D1113" s="288"/>
      <c r="E1113" s="288">
        <f t="shared" si="53"/>
        <v>0</v>
      </c>
    </row>
    <row r="1114" spans="1:5" ht="15.75">
      <c r="A1114" s="95" t="s">
        <v>262</v>
      </c>
      <c r="B1114" s="626"/>
      <c r="C1114" s="279"/>
      <c r="D1114" s="279"/>
      <c r="E1114" s="626">
        <f t="shared" si="53"/>
        <v>0</v>
      </c>
    </row>
    <row r="1115" spans="1:5">
      <c r="A1115" s="293"/>
      <c r="B1115" s="626"/>
      <c r="C1115" s="279"/>
      <c r="D1115" s="279"/>
      <c r="E1115" s="626">
        <f t="shared" si="53"/>
        <v>0</v>
      </c>
    </row>
    <row r="1116" spans="1:5">
      <c r="A1116" s="90" t="s">
        <v>168</v>
      </c>
      <c r="B1116" s="284">
        <f>B1132+B1142+B1146+B1122+B1126</f>
        <v>5222545</v>
      </c>
      <c r="C1116" s="284">
        <f>C1132+C1142+C1146+C1122+C1126</f>
        <v>-154424</v>
      </c>
      <c r="D1116" s="284">
        <f>D1132+D1142+D1146+D1122+D1126</f>
        <v>-30208</v>
      </c>
      <c r="E1116" s="284">
        <f t="shared" si="53"/>
        <v>5037913</v>
      </c>
    </row>
    <row r="1117" spans="1:5">
      <c r="A1117" s="67" t="s">
        <v>185</v>
      </c>
      <c r="B1117" s="344">
        <v>2106077</v>
      </c>
      <c r="C1117" s="344">
        <v>40980</v>
      </c>
      <c r="D1117" s="344">
        <v>366709</v>
      </c>
      <c r="E1117" s="344">
        <f t="shared" si="53"/>
        <v>2513766</v>
      </c>
    </row>
    <row r="1118" spans="1:5">
      <c r="A1118" s="91" t="s">
        <v>169</v>
      </c>
      <c r="B1118" s="284">
        <f t="shared" ref="B1118:D1118" si="54">B1119+B1120</f>
        <v>5222545</v>
      </c>
      <c r="C1118" s="284">
        <f t="shared" si="54"/>
        <v>-154424</v>
      </c>
      <c r="D1118" s="284">
        <f t="shared" si="54"/>
        <v>-30208</v>
      </c>
      <c r="E1118" s="284">
        <f t="shared" si="53"/>
        <v>5037913</v>
      </c>
    </row>
    <row r="1119" spans="1:5">
      <c r="A1119" s="92" t="s">
        <v>170</v>
      </c>
      <c r="B1119" s="285">
        <v>4672530</v>
      </c>
      <c r="C1119" s="285">
        <v>-209970</v>
      </c>
      <c r="D1119" s="285">
        <v>-44700</v>
      </c>
      <c r="E1119" s="285">
        <f t="shared" si="53"/>
        <v>4417860</v>
      </c>
    </row>
    <row r="1120" spans="1:5">
      <c r="A1120" s="93" t="s">
        <v>171</v>
      </c>
      <c r="B1120" s="285">
        <f t="shared" ref="B1120:D1120" si="55">B1116-B1119</f>
        <v>550015</v>
      </c>
      <c r="C1120" s="285">
        <f t="shared" si="55"/>
        <v>55546</v>
      </c>
      <c r="D1120" s="285">
        <f t="shared" si="55"/>
        <v>14492</v>
      </c>
      <c r="E1120" s="285">
        <f t="shared" si="53"/>
        <v>620053</v>
      </c>
    </row>
    <row r="1121" spans="1:5">
      <c r="A1121" s="93"/>
      <c r="B1121" s="285"/>
      <c r="C1121" s="285"/>
      <c r="D1121" s="285"/>
      <c r="E1121" s="285">
        <f t="shared" si="53"/>
        <v>0</v>
      </c>
    </row>
    <row r="1122" spans="1:5" ht="15">
      <c r="A1122" s="130" t="s">
        <v>186</v>
      </c>
      <c r="B1122" s="319">
        <f t="shared" ref="B1122:D1122" si="56">B1123</f>
        <v>165482</v>
      </c>
      <c r="C1122" s="319">
        <f t="shared" si="56"/>
        <v>0</v>
      </c>
      <c r="D1122" s="319">
        <f t="shared" si="56"/>
        <v>0</v>
      </c>
      <c r="E1122" s="319">
        <f t="shared" si="53"/>
        <v>165482</v>
      </c>
    </row>
    <row r="1123" spans="1:5">
      <c r="A1123" s="298" t="s">
        <v>542</v>
      </c>
      <c r="B1123" s="147">
        <v>165482</v>
      </c>
      <c r="C1123" s="147"/>
      <c r="D1123" s="147"/>
      <c r="E1123" s="147">
        <f t="shared" si="53"/>
        <v>165482</v>
      </c>
    </row>
    <row r="1124" spans="1:5">
      <c r="A1124" s="81" t="s">
        <v>173</v>
      </c>
      <c r="B1124" s="296">
        <v>77446</v>
      </c>
      <c r="C1124" s="296">
        <v>4748</v>
      </c>
      <c r="D1124" s="296"/>
      <c r="E1124" s="296">
        <f t="shared" si="53"/>
        <v>82194</v>
      </c>
    </row>
    <row r="1125" spans="1:5">
      <c r="A1125" s="64"/>
      <c r="B1125" s="285"/>
      <c r="C1125" s="285"/>
      <c r="D1125" s="285"/>
      <c r="E1125" s="285">
        <f t="shared" si="53"/>
        <v>0</v>
      </c>
    </row>
    <row r="1126" spans="1:5" ht="15">
      <c r="A1126" s="130" t="s">
        <v>195</v>
      </c>
      <c r="B1126" s="319">
        <f t="shared" ref="B1126:D1126" si="57">B1127</f>
        <v>206243</v>
      </c>
      <c r="C1126" s="319">
        <f t="shared" si="57"/>
        <v>0</v>
      </c>
      <c r="D1126" s="319">
        <f t="shared" si="57"/>
        <v>-54600</v>
      </c>
      <c r="E1126" s="319">
        <f t="shared" si="53"/>
        <v>151643</v>
      </c>
    </row>
    <row r="1127" spans="1:5">
      <c r="A1127" s="132" t="s">
        <v>196</v>
      </c>
      <c r="B1127" s="147">
        <f t="shared" ref="B1127:D1127" si="58">B1129</f>
        <v>206243</v>
      </c>
      <c r="C1127" s="147">
        <f t="shared" si="58"/>
        <v>0</v>
      </c>
      <c r="D1127" s="147">
        <f t="shared" si="58"/>
        <v>-54600</v>
      </c>
      <c r="E1127" s="147">
        <f t="shared" si="53"/>
        <v>151643</v>
      </c>
    </row>
    <row r="1128" spans="1:5">
      <c r="A1128" s="133" t="s">
        <v>179</v>
      </c>
      <c r="B1128" s="149"/>
      <c r="C1128" s="149"/>
      <c r="D1128" s="149"/>
      <c r="E1128" s="149">
        <f t="shared" si="53"/>
        <v>0</v>
      </c>
    </row>
    <row r="1129" spans="1:5">
      <c r="A1129" s="134" t="s">
        <v>522</v>
      </c>
      <c r="B1129" s="148">
        <v>206243</v>
      </c>
      <c r="C1129" s="148"/>
      <c r="D1129" s="148">
        <v>-54600</v>
      </c>
      <c r="E1129" s="148">
        <f t="shared" si="53"/>
        <v>151643</v>
      </c>
    </row>
    <row r="1130" spans="1:5">
      <c r="A1130" s="84" t="s">
        <v>173</v>
      </c>
      <c r="B1130" s="100">
        <v>98174</v>
      </c>
      <c r="C1130" s="100">
        <v>1273</v>
      </c>
      <c r="D1130" s="100">
        <v>-30965</v>
      </c>
      <c r="E1130" s="100">
        <f t="shared" si="53"/>
        <v>68482</v>
      </c>
    </row>
    <row r="1131" spans="1:5">
      <c r="A1131" s="140"/>
      <c r="B1131" s="289"/>
      <c r="C1131" s="289"/>
      <c r="D1131" s="289"/>
      <c r="E1131" s="289">
        <f t="shared" si="53"/>
        <v>0</v>
      </c>
    </row>
    <row r="1132" spans="1:5" ht="15">
      <c r="A1132" s="130" t="s">
        <v>201</v>
      </c>
      <c r="B1132" s="319">
        <f t="shared" ref="B1132:D1132" si="59">B1133</f>
        <v>460649</v>
      </c>
      <c r="C1132" s="319">
        <f t="shared" si="59"/>
        <v>-11424</v>
      </c>
      <c r="D1132" s="319">
        <f t="shared" si="59"/>
        <v>-11000</v>
      </c>
      <c r="E1132" s="319">
        <f t="shared" si="53"/>
        <v>438225</v>
      </c>
    </row>
    <row r="1133" spans="1:5" ht="25.5">
      <c r="A1133" s="132" t="s">
        <v>259</v>
      </c>
      <c r="B1133" s="147">
        <f>B1135+B1139</f>
        <v>460649</v>
      </c>
      <c r="C1133" s="147">
        <f>C1135+C1139</f>
        <v>-11424</v>
      </c>
      <c r="D1133" s="147">
        <f>D1135+D1139</f>
        <v>-11000</v>
      </c>
      <c r="E1133" s="147">
        <f t="shared" si="53"/>
        <v>438225</v>
      </c>
    </row>
    <row r="1134" spans="1:5">
      <c r="A1134" s="133" t="s">
        <v>179</v>
      </c>
      <c r="B1134" s="149"/>
      <c r="C1134" s="149"/>
      <c r="D1134" s="149"/>
      <c r="E1134" s="149">
        <f t="shared" si="53"/>
        <v>0</v>
      </c>
    </row>
    <row r="1135" spans="1:5" ht="12" customHeight="1">
      <c r="A1135" s="134" t="s">
        <v>667</v>
      </c>
      <c r="B1135" s="148">
        <v>232949</v>
      </c>
      <c r="C1135" s="148">
        <v>4098</v>
      </c>
      <c r="D1135" s="148"/>
      <c r="E1135" s="148">
        <f t="shared" si="53"/>
        <v>237047</v>
      </c>
    </row>
    <row r="1136" spans="1:5">
      <c r="A1136" s="84" t="s">
        <v>173</v>
      </c>
      <c r="B1136" s="100">
        <v>114071</v>
      </c>
      <c r="C1136" s="100">
        <v>4449</v>
      </c>
      <c r="D1136" s="100"/>
      <c r="E1136" s="100">
        <f t="shared" si="53"/>
        <v>118520</v>
      </c>
    </row>
    <row r="1137" spans="1:5">
      <c r="A1137" s="84"/>
      <c r="B1137" s="100"/>
      <c r="C1137" s="100"/>
      <c r="D1137" s="100"/>
      <c r="E1137" s="100">
        <f t="shared" si="53"/>
        <v>0</v>
      </c>
    </row>
    <row r="1138" spans="1:5">
      <c r="A1138" s="133" t="s">
        <v>179</v>
      </c>
      <c r="B1138" s="148"/>
      <c r="C1138" s="148"/>
      <c r="D1138" s="148"/>
      <c r="E1138" s="148">
        <f t="shared" si="53"/>
        <v>0</v>
      </c>
    </row>
    <row r="1139" spans="1:5">
      <c r="A1139" s="134" t="s">
        <v>668</v>
      </c>
      <c r="B1139" s="148">
        <v>227700</v>
      </c>
      <c r="C1139" s="148">
        <v>-15522</v>
      </c>
      <c r="D1139" s="148">
        <v>-11000</v>
      </c>
      <c r="E1139" s="148">
        <f t="shared" si="53"/>
        <v>201178</v>
      </c>
    </row>
    <row r="1140" spans="1:5">
      <c r="A1140" s="84" t="s">
        <v>173</v>
      </c>
      <c r="B1140" s="100">
        <v>168651</v>
      </c>
      <c r="C1140" s="100">
        <v>-11372</v>
      </c>
      <c r="D1140" s="100">
        <v>-8200</v>
      </c>
      <c r="E1140" s="100">
        <f t="shared" si="53"/>
        <v>149079</v>
      </c>
    </row>
    <row r="1141" spans="1:5" ht="12" customHeight="1">
      <c r="A1141" s="84"/>
      <c r="B1141" s="100"/>
      <c r="C1141" s="100"/>
      <c r="D1141" s="100"/>
      <c r="E1141" s="100">
        <f t="shared" si="53"/>
        <v>0</v>
      </c>
    </row>
    <row r="1142" spans="1:5" ht="15">
      <c r="A1142" s="130" t="s">
        <v>254</v>
      </c>
      <c r="B1142" s="319">
        <f t="shared" ref="B1142:D1142" si="60">B1143</f>
        <v>630000</v>
      </c>
      <c r="C1142" s="319">
        <f t="shared" si="60"/>
        <v>-5000</v>
      </c>
      <c r="D1142" s="319">
        <f t="shared" si="60"/>
        <v>0</v>
      </c>
      <c r="E1142" s="319">
        <f t="shared" si="53"/>
        <v>625000</v>
      </c>
    </row>
    <row r="1143" spans="1:5">
      <c r="A1143" s="298" t="s">
        <v>255</v>
      </c>
      <c r="B1143" s="147">
        <v>630000</v>
      </c>
      <c r="C1143" s="147">
        <v>-5000</v>
      </c>
      <c r="D1143" s="147"/>
      <c r="E1143" s="147">
        <f t="shared" si="53"/>
        <v>625000</v>
      </c>
    </row>
    <row r="1144" spans="1:5">
      <c r="A1144" s="81" t="s">
        <v>173</v>
      </c>
      <c r="B1144" s="296">
        <v>5850</v>
      </c>
      <c r="C1144" s="296"/>
      <c r="D1144" s="296"/>
      <c r="E1144" s="296">
        <f t="shared" si="53"/>
        <v>5850</v>
      </c>
    </row>
    <row r="1145" spans="1:5">
      <c r="A1145" s="135"/>
      <c r="B1145" s="71"/>
      <c r="C1145" s="150"/>
      <c r="D1145" s="150"/>
      <c r="E1145" s="71">
        <f t="shared" si="53"/>
        <v>0</v>
      </c>
    </row>
    <row r="1146" spans="1:5">
      <c r="A1146" s="137" t="s">
        <v>172</v>
      </c>
      <c r="B1146" s="284">
        <f>B1148+B1151+B1158+B1160+B1164+B1166+B1168+B1176+B1156+B1162+B1170+B1173</f>
        <v>3760171</v>
      </c>
      <c r="C1146" s="284">
        <f>C1148+C1151+C1158+C1160+C1164+C1166+C1168+C1176+C1156+C1162+C1170+C1173</f>
        <v>-138000</v>
      </c>
      <c r="D1146" s="284">
        <f>D1148+D1151+D1158+D1160+D1164+D1166+D1168+D1176+D1156+D1162+D1170+D1173</f>
        <v>35392</v>
      </c>
      <c r="E1146" s="284">
        <f t="shared" si="53"/>
        <v>3657563</v>
      </c>
    </row>
    <row r="1147" spans="1:5">
      <c r="A1147" s="137"/>
      <c r="B1147" s="288"/>
      <c r="C1147" s="288"/>
      <c r="D1147" s="288"/>
      <c r="E1147" s="288">
        <f t="shared" si="53"/>
        <v>0</v>
      </c>
    </row>
    <row r="1148" spans="1:5">
      <c r="A1148" s="82" t="s">
        <v>260</v>
      </c>
      <c r="B1148" s="148">
        <f>2030000+11175+4088</f>
        <v>2045263</v>
      </c>
      <c r="C1148" s="148">
        <v>-10000</v>
      </c>
      <c r="D1148" s="148">
        <v>-5908</v>
      </c>
      <c r="E1148" s="148">
        <f t="shared" si="53"/>
        <v>2029355</v>
      </c>
    </row>
    <row r="1149" spans="1:5">
      <c r="A1149" s="78" t="s">
        <v>173</v>
      </c>
      <c r="B1149" s="100">
        <f>1162514+8352+3055</f>
        <v>1173921</v>
      </c>
      <c r="C1149" s="100"/>
      <c r="D1149" s="100">
        <v>-4416</v>
      </c>
      <c r="E1149" s="100">
        <f t="shared" si="53"/>
        <v>1169505</v>
      </c>
    </row>
    <row r="1150" spans="1:5">
      <c r="A1150" s="122"/>
      <c r="B1150" s="288"/>
      <c r="C1150" s="288"/>
      <c r="D1150" s="288"/>
      <c r="E1150" s="288">
        <f t="shared" si="53"/>
        <v>0</v>
      </c>
    </row>
    <row r="1151" spans="1:5" ht="25.5">
      <c r="A1151" s="138" t="s">
        <v>656</v>
      </c>
      <c r="B1151" s="148">
        <v>392000</v>
      </c>
      <c r="C1151" s="148">
        <v>-3000</v>
      </c>
      <c r="D1151" s="148">
        <v>15000</v>
      </c>
      <c r="E1151" s="148">
        <f t="shared" si="53"/>
        <v>404000</v>
      </c>
    </row>
    <row r="1152" spans="1:5">
      <c r="A1152" s="83" t="s">
        <v>173</v>
      </c>
      <c r="B1152" s="289">
        <f>3000+12800</f>
        <v>15800</v>
      </c>
      <c r="C1152" s="289"/>
      <c r="D1152" s="289"/>
      <c r="E1152" s="289">
        <f t="shared" si="53"/>
        <v>15800</v>
      </c>
    </row>
    <row r="1153" spans="1:6">
      <c r="A1153" s="249" t="s">
        <v>675</v>
      </c>
      <c r="B1153" s="158">
        <v>210000</v>
      </c>
      <c r="C1153" s="158"/>
      <c r="D1153" s="158"/>
      <c r="E1153" s="158">
        <f t="shared" si="53"/>
        <v>210000</v>
      </c>
    </row>
    <row r="1154" spans="1:6">
      <c r="A1154" s="144" t="s">
        <v>173</v>
      </c>
      <c r="B1154" s="287">
        <v>12800</v>
      </c>
      <c r="C1154" s="287"/>
      <c r="D1154" s="287"/>
      <c r="E1154" s="287">
        <f t="shared" si="53"/>
        <v>12800</v>
      </c>
    </row>
    <row r="1155" spans="1:6">
      <c r="A1155" s="249"/>
      <c r="B1155" s="315"/>
      <c r="C1155" s="315"/>
      <c r="D1155" s="315"/>
      <c r="E1155" s="315">
        <f t="shared" si="53"/>
        <v>0</v>
      </c>
    </row>
    <row r="1156" spans="1:6">
      <c r="A1156" s="138" t="s">
        <v>28</v>
      </c>
      <c r="B1156" s="148">
        <v>58000</v>
      </c>
      <c r="C1156" s="148"/>
      <c r="D1156" s="148"/>
      <c r="E1156" s="148">
        <f t="shared" si="53"/>
        <v>58000</v>
      </c>
    </row>
    <row r="1157" spans="1:6">
      <c r="A1157" s="291"/>
      <c r="B1157" s="288"/>
      <c r="C1157" s="288"/>
      <c r="D1157" s="288"/>
      <c r="E1157" s="288">
        <f t="shared" si="53"/>
        <v>0</v>
      </c>
    </row>
    <row r="1158" spans="1:6">
      <c r="A1158" s="291" t="s">
        <v>24</v>
      </c>
      <c r="B1158" s="148">
        <v>3500</v>
      </c>
      <c r="C1158" s="148"/>
      <c r="D1158" s="148"/>
      <c r="E1158" s="148">
        <f t="shared" si="53"/>
        <v>3500</v>
      </c>
    </row>
    <row r="1159" spans="1:6">
      <c r="A1159" s="122"/>
      <c r="B1159" s="148"/>
      <c r="C1159" s="148"/>
      <c r="D1159" s="148"/>
      <c r="E1159" s="148">
        <f t="shared" ref="E1159:E1222" si="61">SUM(B1159:D1159)</f>
        <v>0</v>
      </c>
    </row>
    <row r="1160" spans="1:6">
      <c r="A1160" s="86" t="s">
        <v>261</v>
      </c>
      <c r="B1160" s="148">
        <v>187000</v>
      </c>
      <c r="C1160" s="148">
        <v>-28000</v>
      </c>
      <c r="D1160" s="148"/>
      <c r="E1160" s="148">
        <f t="shared" si="61"/>
        <v>159000</v>
      </c>
    </row>
    <row r="1161" spans="1:6" s="286" customFormat="1">
      <c r="A1161" s="86"/>
      <c r="B1161" s="148"/>
      <c r="C1161" s="148"/>
      <c r="D1161" s="148"/>
      <c r="E1161" s="148">
        <f t="shared" si="61"/>
        <v>0</v>
      </c>
      <c r="F1161" s="250"/>
    </row>
    <row r="1162" spans="1:6">
      <c r="A1162" s="138" t="s">
        <v>415</v>
      </c>
      <c r="B1162" s="148">
        <v>17800</v>
      </c>
      <c r="C1162" s="148"/>
      <c r="D1162" s="148">
        <v>1000</v>
      </c>
      <c r="E1162" s="148">
        <f t="shared" si="61"/>
        <v>18800</v>
      </c>
    </row>
    <row r="1163" spans="1:6">
      <c r="A1163" s="86"/>
      <c r="B1163" s="148"/>
      <c r="C1163" s="148"/>
      <c r="D1163" s="148"/>
      <c r="E1163" s="148">
        <f t="shared" si="61"/>
        <v>0</v>
      </c>
    </row>
    <row r="1164" spans="1:6">
      <c r="A1164" s="77" t="s">
        <v>264</v>
      </c>
      <c r="B1164" s="148">
        <v>62000</v>
      </c>
      <c r="C1164" s="148">
        <v>-10000</v>
      </c>
      <c r="D1164" s="148">
        <v>-2700</v>
      </c>
      <c r="E1164" s="148">
        <f t="shared" si="61"/>
        <v>49300</v>
      </c>
    </row>
    <row r="1165" spans="1:6">
      <c r="A1165" s="294"/>
      <c r="B1165" s="148"/>
      <c r="C1165" s="148"/>
      <c r="D1165" s="148"/>
      <c r="E1165" s="148">
        <f t="shared" si="61"/>
        <v>0</v>
      </c>
    </row>
    <row r="1166" spans="1:6">
      <c r="A1166" s="77" t="s">
        <v>265</v>
      </c>
      <c r="B1166" s="148">
        <v>445000</v>
      </c>
      <c r="C1166" s="148">
        <v>-50000</v>
      </c>
      <c r="D1166" s="148"/>
      <c r="E1166" s="148">
        <f t="shared" si="61"/>
        <v>395000</v>
      </c>
    </row>
    <row r="1167" spans="1:6">
      <c r="A1167" s="291"/>
      <c r="B1167" s="148"/>
      <c r="C1167" s="148"/>
      <c r="D1167" s="148"/>
      <c r="E1167" s="148">
        <f t="shared" si="61"/>
        <v>0</v>
      </c>
    </row>
    <row r="1168" spans="1:6">
      <c r="A1168" s="86" t="s">
        <v>43</v>
      </c>
      <c r="B1168" s="148">
        <v>10000</v>
      </c>
      <c r="C1168" s="148">
        <v>-2000</v>
      </c>
      <c r="D1168" s="148"/>
      <c r="E1168" s="148">
        <f t="shared" si="61"/>
        <v>8000</v>
      </c>
    </row>
    <row r="1169" spans="1:5">
      <c r="A1169" s="86"/>
      <c r="B1169" s="151"/>
      <c r="C1169" s="151"/>
      <c r="D1169" s="151"/>
      <c r="E1169" s="151">
        <f t="shared" si="61"/>
        <v>0</v>
      </c>
    </row>
    <row r="1170" spans="1:5">
      <c r="A1170" s="86" t="s">
        <v>490</v>
      </c>
      <c r="B1170" s="148">
        <v>371445</v>
      </c>
      <c r="C1170" s="148">
        <v>-9000</v>
      </c>
      <c r="D1170" s="148">
        <v>8000</v>
      </c>
      <c r="E1170" s="148">
        <f t="shared" si="61"/>
        <v>370445</v>
      </c>
    </row>
    <row r="1171" spans="1:5">
      <c r="A1171" s="83" t="s">
        <v>173</v>
      </c>
      <c r="B1171" s="100">
        <v>90036</v>
      </c>
      <c r="C1171" s="100"/>
      <c r="D1171" s="100"/>
      <c r="E1171" s="100">
        <f t="shared" si="61"/>
        <v>90036</v>
      </c>
    </row>
    <row r="1172" spans="1:5">
      <c r="A1172" s="103"/>
      <c r="B1172" s="151"/>
      <c r="C1172" s="151"/>
      <c r="D1172" s="151"/>
      <c r="E1172" s="151">
        <f t="shared" si="61"/>
        <v>0</v>
      </c>
    </row>
    <row r="1173" spans="1:5">
      <c r="A1173" s="86" t="s">
        <v>417</v>
      </c>
      <c r="B1173" s="148">
        <v>113263</v>
      </c>
      <c r="C1173" s="148">
        <v>-1000</v>
      </c>
      <c r="D1173" s="148">
        <v>25000</v>
      </c>
      <c r="E1173" s="148">
        <f t="shared" si="61"/>
        <v>137263</v>
      </c>
    </row>
    <row r="1174" spans="1:5">
      <c r="A1174" s="83" t="s">
        <v>173</v>
      </c>
      <c r="B1174" s="100">
        <v>44919</v>
      </c>
      <c r="C1174" s="100"/>
      <c r="D1174" s="100">
        <v>6900</v>
      </c>
      <c r="E1174" s="100">
        <f t="shared" si="61"/>
        <v>51819</v>
      </c>
    </row>
    <row r="1175" spans="1:5">
      <c r="A1175" s="122"/>
      <c r="B1175" s="288"/>
      <c r="C1175" s="288"/>
      <c r="D1175" s="288"/>
      <c r="E1175" s="288">
        <f t="shared" si="61"/>
        <v>0</v>
      </c>
    </row>
    <row r="1176" spans="1:5">
      <c r="A1176" s="77" t="s">
        <v>22</v>
      </c>
      <c r="B1176" s="288">
        <v>54900</v>
      </c>
      <c r="C1176" s="288">
        <v>-25000</v>
      </c>
      <c r="D1176" s="288">
        <v>-5000</v>
      </c>
      <c r="E1176" s="288">
        <f t="shared" si="61"/>
        <v>24900</v>
      </c>
    </row>
    <row r="1177" spans="1:5">
      <c r="A1177" s="293"/>
      <c r="B1177" s="288"/>
      <c r="C1177" s="288"/>
      <c r="D1177" s="288"/>
      <c r="E1177" s="288">
        <f t="shared" si="61"/>
        <v>0</v>
      </c>
    </row>
    <row r="1178" spans="1:5">
      <c r="A1178" s="293"/>
      <c r="B1178" s="288"/>
      <c r="C1178" s="288"/>
      <c r="D1178" s="288"/>
      <c r="E1178" s="288">
        <f t="shared" si="61"/>
        <v>0</v>
      </c>
    </row>
    <row r="1179" spans="1:5" ht="15.75">
      <c r="A1179" s="95" t="s">
        <v>266</v>
      </c>
      <c r="B1179" s="288"/>
      <c r="C1179" s="288"/>
      <c r="D1179" s="288"/>
      <c r="E1179" s="288">
        <f t="shared" si="61"/>
        <v>0</v>
      </c>
    </row>
    <row r="1180" spans="1:5">
      <c r="A1180" s="293"/>
      <c r="B1180" s="288"/>
      <c r="C1180" s="288"/>
      <c r="D1180" s="288"/>
      <c r="E1180" s="288">
        <f t="shared" si="61"/>
        <v>0</v>
      </c>
    </row>
    <row r="1181" spans="1:5">
      <c r="A1181" s="90" t="s">
        <v>168</v>
      </c>
      <c r="B1181" s="284">
        <f>B1193+B1203+B1206</f>
        <v>1755716</v>
      </c>
      <c r="C1181" s="284">
        <f>C1193+C1203+C1206</f>
        <v>10497</v>
      </c>
      <c r="D1181" s="284">
        <f>D1193+D1203+D1206+D1187</f>
        <v>78470</v>
      </c>
      <c r="E1181" s="284">
        <f t="shared" si="61"/>
        <v>1844683</v>
      </c>
    </row>
    <row r="1182" spans="1:5">
      <c r="A1182" s="67" t="s">
        <v>185</v>
      </c>
      <c r="B1182" s="344">
        <v>104030</v>
      </c>
      <c r="C1182" s="344"/>
      <c r="D1182" s="344">
        <v>5300</v>
      </c>
      <c r="E1182" s="344">
        <f t="shared" si="61"/>
        <v>109330</v>
      </c>
    </row>
    <row r="1183" spans="1:5">
      <c r="A1183" s="91" t="s">
        <v>169</v>
      </c>
      <c r="B1183" s="284">
        <f t="shared" ref="B1183:C1183" si="62">B1184+B1185</f>
        <v>1755716</v>
      </c>
      <c r="C1183" s="284">
        <f t="shared" si="62"/>
        <v>10497</v>
      </c>
      <c r="D1183" s="284">
        <f>D1184+D1185</f>
        <v>78470</v>
      </c>
      <c r="E1183" s="284">
        <f t="shared" si="61"/>
        <v>1844683</v>
      </c>
    </row>
    <row r="1184" spans="1:5">
      <c r="A1184" s="92" t="s">
        <v>170</v>
      </c>
      <c r="B1184" s="285">
        <v>249450</v>
      </c>
      <c r="C1184" s="285"/>
      <c r="D1184" s="285">
        <v>24565</v>
      </c>
      <c r="E1184" s="285">
        <f t="shared" si="61"/>
        <v>274015</v>
      </c>
    </row>
    <row r="1185" spans="1:5">
      <c r="A1185" s="93" t="s">
        <v>171</v>
      </c>
      <c r="B1185" s="285">
        <f t="shared" ref="B1185:D1185" si="63">B1181-B1184</f>
        <v>1506266</v>
      </c>
      <c r="C1185" s="285">
        <f t="shared" si="63"/>
        <v>10497</v>
      </c>
      <c r="D1185" s="285">
        <f t="shared" si="63"/>
        <v>53905</v>
      </c>
      <c r="E1185" s="285">
        <f t="shared" si="61"/>
        <v>1570668</v>
      </c>
    </row>
    <row r="1186" spans="1:5">
      <c r="A1186" s="627"/>
      <c r="B1186" s="287"/>
      <c r="C1186" s="287"/>
      <c r="D1186" s="308"/>
      <c r="E1186" s="287">
        <f t="shared" si="61"/>
        <v>0</v>
      </c>
    </row>
    <row r="1187" spans="1:5" ht="15">
      <c r="A1187" s="346" t="s">
        <v>195</v>
      </c>
      <c r="B1187" s="287"/>
      <c r="C1187" s="287"/>
      <c r="D1187" s="596">
        <f>D1188</f>
        <v>57890</v>
      </c>
      <c r="E1187" s="596">
        <f t="shared" si="61"/>
        <v>57890</v>
      </c>
    </row>
    <row r="1188" spans="1:5">
      <c r="A1188" s="310" t="s">
        <v>196</v>
      </c>
      <c r="B1188" s="287"/>
      <c r="C1188" s="287"/>
      <c r="D1188" s="591">
        <f>D1190</f>
        <v>57890</v>
      </c>
      <c r="E1188" s="591">
        <f t="shared" si="61"/>
        <v>57890</v>
      </c>
    </row>
    <row r="1189" spans="1:5">
      <c r="A1189" s="345" t="s">
        <v>179</v>
      </c>
      <c r="B1189" s="287"/>
      <c r="C1189" s="287"/>
      <c r="D1189" s="308"/>
      <c r="E1189" s="308">
        <f t="shared" si="61"/>
        <v>0</v>
      </c>
    </row>
    <row r="1190" spans="1:5">
      <c r="A1190" s="94" t="s">
        <v>1083</v>
      </c>
      <c r="B1190" s="287"/>
      <c r="C1190" s="287"/>
      <c r="D1190" s="308">
        <v>57890</v>
      </c>
      <c r="E1190" s="308">
        <f t="shared" si="61"/>
        <v>57890</v>
      </c>
    </row>
    <row r="1191" spans="1:5">
      <c r="A1191" s="131" t="s">
        <v>173</v>
      </c>
      <c r="B1191" s="287"/>
      <c r="C1191" s="287"/>
      <c r="D1191" s="100">
        <v>28510</v>
      </c>
      <c r="E1191" s="308">
        <f t="shared" si="61"/>
        <v>28510</v>
      </c>
    </row>
    <row r="1192" spans="1:5">
      <c r="A1192" s="93"/>
      <c r="B1192" s="308"/>
      <c r="C1192" s="308"/>
      <c r="D1192" s="308"/>
      <c r="E1192" s="308">
        <f t="shared" si="61"/>
        <v>0</v>
      </c>
    </row>
    <row r="1193" spans="1:5" ht="15">
      <c r="A1193" s="130" t="s">
        <v>201</v>
      </c>
      <c r="B1193" s="319">
        <f t="shared" ref="B1193:D1193" si="64">B1194</f>
        <v>447388</v>
      </c>
      <c r="C1193" s="319">
        <f t="shared" si="64"/>
        <v>10497</v>
      </c>
      <c r="D1193" s="319">
        <f t="shared" si="64"/>
        <v>4400</v>
      </c>
      <c r="E1193" s="319">
        <f t="shared" si="61"/>
        <v>462285</v>
      </c>
    </row>
    <row r="1194" spans="1:5" ht="25.5">
      <c r="A1194" s="132" t="s">
        <v>259</v>
      </c>
      <c r="B1194" s="147">
        <f>B1196+B1200</f>
        <v>447388</v>
      </c>
      <c r="C1194" s="147">
        <f>C1196+C1200</f>
        <v>10497</v>
      </c>
      <c r="D1194" s="147">
        <f>D1196+D1200</f>
        <v>4400</v>
      </c>
      <c r="E1194" s="147">
        <f t="shared" si="61"/>
        <v>462285</v>
      </c>
    </row>
    <row r="1195" spans="1:5">
      <c r="A1195" s="133" t="s">
        <v>179</v>
      </c>
      <c r="B1195" s="288"/>
      <c r="C1195" s="288"/>
      <c r="D1195" s="288"/>
      <c r="E1195" s="288">
        <f t="shared" si="61"/>
        <v>0</v>
      </c>
    </row>
    <row r="1196" spans="1:5">
      <c r="A1196" s="134" t="s">
        <v>1084</v>
      </c>
      <c r="B1196" s="148">
        <v>167959</v>
      </c>
      <c r="C1196" s="148">
        <v>3064</v>
      </c>
      <c r="D1196" s="148">
        <v>3900</v>
      </c>
      <c r="E1196" s="148">
        <f t="shared" si="61"/>
        <v>174923</v>
      </c>
    </row>
    <row r="1197" spans="1:5">
      <c r="A1197" s="84" t="s">
        <v>173</v>
      </c>
      <c r="B1197" s="100">
        <v>93813</v>
      </c>
      <c r="C1197" s="100">
        <v>2290</v>
      </c>
      <c r="D1197" s="100"/>
      <c r="E1197" s="100">
        <f t="shared" si="61"/>
        <v>96103</v>
      </c>
    </row>
    <row r="1198" spans="1:5">
      <c r="A1198" s="103"/>
      <c r="B1198" s="289"/>
      <c r="C1198" s="289"/>
      <c r="D1198" s="289"/>
      <c r="E1198" s="289">
        <f t="shared" si="61"/>
        <v>0</v>
      </c>
    </row>
    <row r="1199" spans="1:5">
      <c r="A1199" s="133" t="s">
        <v>179</v>
      </c>
      <c r="B1199" s="288"/>
      <c r="C1199" s="288"/>
      <c r="D1199" s="288"/>
      <c r="E1199" s="288">
        <f t="shared" si="61"/>
        <v>0</v>
      </c>
    </row>
    <row r="1200" spans="1:5">
      <c r="A1200" s="134" t="s">
        <v>1085</v>
      </c>
      <c r="B1200" s="148">
        <v>279429</v>
      </c>
      <c r="C1200" s="148">
        <v>7433</v>
      </c>
      <c r="D1200" s="148">
        <v>500</v>
      </c>
      <c r="E1200" s="148">
        <f t="shared" si="61"/>
        <v>287362</v>
      </c>
    </row>
    <row r="1201" spans="1:6">
      <c r="A1201" s="84" t="s">
        <v>173</v>
      </c>
      <c r="B1201" s="100">
        <v>195387</v>
      </c>
      <c r="C1201" s="100">
        <v>5555</v>
      </c>
      <c r="D1201" s="100"/>
      <c r="E1201" s="100">
        <f t="shared" si="61"/>
        <v>200942</v>
      </c>
    </row>
    <row r="1202" spans="1:6" s="286" customFormat="1" ht="12">
      <c r="A1202" s="84"/>
      <c r="B1202" s="289"/>
      <c r="C1202" s="289"/>
      <c r="D1202" s="289"/>
      <c r="E1202" s="289">
        <f t="shared" si="61"/>
        <v>0</v>
      </c>
      <c r="F1202" s="250"/>
    </row>
    <row r="1203" spans="1:6" ht="15">
      <c r="A1203" s="130" t="s">
        <v>254</v>
      </c>
      <c r="B1203" s="319">
        <f t="shared" ref="B1203:D1203" si="65">B1204</f>
        <v>80000</v>
      </c>
      <c r="C1203" s="319">
        <f t="shared" si="65"/>
        <v>0</v>
      </c>
      <c r="D1203" s="319">
        <f t="shared" si="65"/>
        <v>0</v>
      </c>
      <c r="E1203" s="319">
        <f t="shared" si="61"/>
        <v>80000</v>
      </c>
    </row>
    <row r="1204" spans="1:6">
      <c r="A1204" s="298" t="s">
        <v>255</v>
      </c>
      <c r="B1204" s="147">
        <v>80000</v>
      </c>
      <c r="C1204" s="147"/>
      <c r="D1204" s="147"/>
      <c r="E1204" s="147">
        <f t="shared" si="61"/>
        <v>80000</v>
      </c>
    </row>
    <row r="1205" spans="1:6">
      <c r="A1205" s="93"/>
      <c r="B1205" s="308"/>
      <c r="C1205" s="308"/>
      <c r="D1205" s="308"/>
      <c r="E1205" s="308">
        <f t="shared" si="61"/>
        <v>0</v>
      </c>
    </row>
    <row r="1206" spans="1:6">
      <c r="A1206" s="137" t="s">
        <v>172</v>
      </c>
      <c r="B1206" s="284">
        <f>B1208+B1211+B1215+B1217+B1219+B1223+B1221+B1213</f>
        <v>1228328</v>
      </c>
      <c r="C1206" s="284">
        <f>C1208+C1211+C1215+C1217+C1219+C1223+C1221+C1213</f>
        <v>0</v>
      </c>
      <c r="D1206" s="284">
        <f>D1208+D1211+D1215+D1217+D1219+D1223+D1221+D1213</f>
        <v>16180</v>
      </c>
      <c r="E1206" s="284">
        <f t="shared" si="61"/>
        <v>1244508</v>
      </c>
    </row>
    <row r="1207" spans="1:6">
      <c r="A1207" s="137"/>
      <c r="B1207" s="288"/>
      <c r="C1207" s="288"/>
      <c r="D1207" s="288"/>
      <c r="E1207" s="288">
        <f t="shared" si="61"/>
        <v>0</v>
      </c>
    </row>
    <row r="1208" spans="1:6">
      <c r="A1208" s="82" t="s">
        <v>260</v>
      </c>
      <c r="B1208" s="148">
        <f>1042584+10533+4001</f>
        <v>1057118</v>
      </c>
      <c r="C1208" s="148"/>
      <c r="D1208" s="148">
        <v>7805</v>
      </c>
      <c r="E1208" s="148">
        <f t="shared" si="61"/>
        <v>1064923</v>
      </c>
    </row>
    <row r="1209" spans="1:6" ht="13.5" customHeight="1">
      <c r="A1209" s="78" t="s">
        <v>173</v>
      </c>
      <c r="B1209" s="100">
        <f>664620+7872+2990</f>
        <v>675482</v>
      </c>
      <c r="C1209" s="100"/>
      <c r="D1209" s="100">
        <v>-520</v>
      </c>
      <c r="E1209" s="100">
        <f t="shared" si="61"/>
        <v>674962</v>
      </c>
    </row>
    <row r="1210" spans="1:6">
      <c r="A1210" s="122"/>
      <c r="B1210" s="288"/>
      <c r="C1210" s="288"/>
      <c r="D1210" s="288"/>
      <c r="E1210" s="288">
        <f t="shared" si="61"/>
        <v>0</v>
      </c>
    </row>
    <row r="1211" spans="1:6" ht="25.5">
      <c r="A1211" s="138" t="s">
        <v>656</v>
      </c>
      <c r="B1211" s="148">
        <v>57000</v>
      </c>
      <c r="C1211" s="148"/>
      <c r="D1211" s="148">
        <v>18935</v>
      </c>
      <c r="E1211" s="148">
        <f t="shared" si="61"/>
        <v>75935</v>
      </c>
    </row>
    <row r="1212" spans="1:6">
      <c r="A1212" s="291"/>
      <c r="B1212" s="148"/>
      <c r="C1212" s="148"/>
      <c r="D1212" s="148"/>
      <c r="E1212" s="148">
        <f t="shared" si="61"/>
        <v>0</v>
      </c>
    </row>
    <row r="1213" spans="1:6">
      <c r="A1213" s="138" t="s">
        <v>28</v>
      </c>
      <c r="B1213" s="148">
        <v>33000</v>
      </c>
      <c r="C1213" s="148"/>
      <c r="D1213" s="148"/>
      <c r="E1213" s="148">
        <f t="shared" si="61"/>
        <v>33000</v>
      </c>
    </row>
    <row r="1214" spans="1:6">
      <c r="A1214" s="291"/>
      <c r="B1214" s="148"/>
      <c r="C1214" s="148"/>
      <c r="D1214" s="148"/>
      <c r="E1214" s="148">
        <f t="shared" si="61"/>
        <v>0</v>
      </c>
    </row>
    <row r="1215" spans="1:6">
      <c r="A1215" s="291" t="s">
        <v>24</v>
      </c>
      <c r="B1215" s="148">
        <v>5800</v>
      </c>
      <c r="C1215" s="148"/>
      <c r="D1215" s="148"/>
      <c r="E1215" s="148">
        <f t="shared" si="61"/>
        <v>5800</v>
      </c>
    </row>
    <row r="1216" spans="1:6">
      <c r="A1216" s="291"/>
      <c r="B1216" s="148"/>
      <c r="C1216" s="148"/>
      <c r="D1216" s="148"/>
      <c r="E1216" s="148">
        <f t="shared" si="61"/>
        <v>0</v>
      </c>
    </row>
    <row r="1217" spans="1:5">
      <c r="A1217" s="86" t="s">
        <v>261</v>
      </c>
      <c r="B1217" s="148">
        <v>25000</v>
      </c>
      <c r="C1217" s="148"/>
      <c r="D1217" s="148">
        <v>6000</v>
      </c>
      <c r="E1217" s="148">
        <f t="shared" si="61"/>
        <v>31000</v>
      </c>
    </row>
    <row r="1218" spans="1:5">
      <c r="A1218" s="86"/>
      <c r="B1218" s="148"/>
      <c r="C1218" s="148"/>
      <c r="D1218" s="148"/>
      <c r="E1218" s="148">
        <f t="shared" si="61"/>
        <v>0</v>
      </c>
    </row>
    <row r="1219" spans="1:5">
      <c r="A1219" s="77" t="s">
        <v>264</v>
      </c>
      <c r="B1219" s="148">
        <v>30550</v>
      </c>
      <c r="C1219" s="148"/>
      <c r="D1219" s="148">
        <v>-2000</v>
      </c>
      <c r="E1219" s="148">
        <f t="shared" si="61"/>
        <v>28550</v>
      </c>
    </row>
    <row r="1220" spans="1:5">
      <c r="A1220" s="294"/>
      <c r="B1220" s="148"/>
      <c r="C1220" s="148"/>
      <c r="D1220" s="148"/>
      <c r="E1220" s="148">
        <f t="shared" si="61"/>
        <v>0</v>
      </c>
    </row>
    <row r="1221" spans="1:5">
      <c r="A1221" s="77" t="s">
        <v>265</v>
      </c>
      <c r="B1221" s="148">
        <v>4860</v>
      </c>
      <c r="C1221" s="148"/>
      <c r="D1221" s="148">
        <v>-860</v>
      </c>
      <c r="E1221" s="148">
        <f t="shared" si="61"/>
        <v>4000</v>
      </c>
    </row>
    <row r="1222" spans="1:5">
      <c r="A1222" s="88"/>
      <c r="B1222" s="148"/>
      <c r="C1222" s="148"/>
      <c r="D1222" s="148"/>
      <c r="E1222" s="148">
        <f t="shared" si="61"/>
        <v>0</v>
      </c>
    </row>
    <row r="1223" spans="1:5">
      <c r="A1223" s="77" t="s">
        <v>22</v>
      </c>
      <c r="B1223" s="148">
        <v>15000</v>
      </c>
      <c r="C1223" s="148"/>
      <c r="D1223" s="148">
        <v>-13700</v>
      </c>
      <c r="E1223" s="148">
        <f t="shared" ref="E1223:E1286" si="66">SUM(B1223:D1223)</f>
        <v>1300</v>
      </c>
    </row>
    <row r="1224" spans="1:5">
      <c r="A1224" s="294"/>
      <c r="B1224" s="308"/>
      <c r="C1224" s="308"/>
      <c r="D1224" s="308"/>
      <c r="E1224" s="308">
        <f t="shared" si="66"/>
        <v>0</v>
      </c>
    </row>
    <row r="1225" spans="1:5">
      <c r="A1225" s="293"/>
      <c r="B1225" s="288"/>
      <c r="C1225" s="288"/>
      <c r="D1225" s="288"/>
      <c r="E1225" s="288">
        <f t="shared" si="66"/>
        <v>0</v>
      </c>
    </row>
    <row r="1226" spans="1:5" ht="15.75">
      <c r="A1226" s="95" t="s">
        <v>268</v>
      </c>
      <c r="B1226" s="288"/>
      <c r="C1226" s="288"/>
      <c r="D1226" s="288"/>
      <c r="E1226" s="288">
        <f t="shared" si="66"/>
        <v>0</v>
      </c>
    </row>
    <row r="1227" spans="1:5">
      <c r="A1227" s="293"/>
      <c r="B1227" s="288"/>
      <c r="C1227" s="288"/>
      <c r="D1227" s="288"/>
      <c r="E1227" s="288">
        <f t="shared" si="66"/>
        <v>0</v>
      </c>
    </row>
    <row r="1228" spans="1:5">
      <c r="A1228" s="90" t="s">
        <v>168</v>
      </c>
      <c r="B1228" s="284">
        <f>B1234+B1250+B1266+B1269+B1277+B1238+B1244</f>
        <v>5200924</v>
      </c>
      <c r="C1228" s="284">
        <f>C1234+C1250+C1266+C1269+C1277+C1238+C1244</f>
        <v>233884</v>
      </c>
      <c r="D1228" s="284">
        <f>D1234+D1250+D1266+D1269+D1277+D1238+D1244</f>
        <v>123486</v>
      </c>
      <c r="E1228" s="284">
        <f t="shared" si="66"/>
        <v>5558294</v>
      </c>
    </row>
    <row r="1229" spans="1:5">
      <c r="A1229" s="67" t="s">
        <v>185</v>
      </c>
      <c r="B1229" s="344">
        <v>550500</v>
      </c>
      <c r="C1229" s="344"/>
      <c r="D1229" s="344">
        <v>13000</v>
      </c>
      <c r="E1229" s="344">
        <f t="shared" si="66"/>
        <v>563500</v>
      </c>
    </row>
    <row r="1230" spans="1:5">
      <c r="A1230" s="91" t="s">
        <v>169</v>
      </c>
      <c r="B1230" s="284">
        <f t="shared" ref="B1230:D1230" si="67">B1231+B1232</f>
        <v>5200924</v>
      </c>
      <c r="C1230" s="284">
        <f t="shared" si="67"/>
        <v>233884</v>
      </c>
      <c r="D1230" s="284">
        <f t="shared" si="67"/>
        <v>123486</v>
      </c>
      <c r="E1230" s="284">
        <f t="shared" si="66"/>
        <v>5558294</v>
      </c>
    </row>
    <row r="1231" spans="1:5">
      <c r="A1231" s="92" t="s">
        <v>170</v>
      </c>
      <c r="B1231" s="285">
        <v>1334935</v>
      </c>
      <c r="C1231" s="285">
        <v>28275</v>
      </c>
      <c r="D1231" s="285">
        <v>50160</v>
      </c>
      <c r="E1231" s="285">
        <f t="shared" si="66"/>
        <v>1413370</v>
      </c>
    </row>
    <row r="1232" spans="1:5">
      <c r="A1232" s="93" t="s">
        <v>171</v>
      </c>
      <c r="B1232" s="285">
        <f t="shared" ref="B1232:D1232" si="68">B1228-B1231</f>
        <v>3865989</v>
      </c>
      <c r="C1232" s="285">
        <f t="shared" si="68"/>
        <v>205609</v>
      </c>
      <c r="D1232" s="285">
        <f t="shared" si="68"/>
        <v>73326</v>
      </c>
      <c r="E1232" s="285">
        <f t="shared" si="66"/>
        <v>4144924</v>
      </c>
    </row>
    <row r="1233" spans="1:5">
      <c r="A1233" s="93"/>
      <c r="B1233" s="288"/>
      <c r="C1233" s="288"/>
      <c r="D1233" s="288"/>
      <c r="E1233" s="288">
        <f t="shared" si="66"/>
        <v>0</v>
      </c>
    </row>
    <row r="1234" spans="1:5" ht="15">
      <c r="A1234" s="130" t="s">
        <v>186</v>
      </c>
      <c r="B1234" s="319">
        <f t="shared" ref="B1234:D1234" si="69">B1235</f>
        <v>351225</v>
      </c>
      <c r="C1234" s="319">
        <f t="shared" si="69"/>
        <v>2500</v>
      </c>
      <c r="D1234" s="319">
        <f t="shared" si="69"/>
        <v>19500</v>
      </c>
      <c r="E1234" s="319">
        <f t="shared" si="66"/>
        <v>373225</v>
      </c>
    </row>
    <row r="1235" spans="1:5">
      <c r="A1235" s="298" t="s">
        <v>475</v>
      </c>
      <c r="B1235" s="147">
        <f>339175+11012+1038</f>
        <v>351225</v>
      </c>
      <c r="C1235" s="147">
        <v>2500</v>
      </c>
      <c r="D1235" s="147">
        <v>19500</v>
      </c>
      <c r="E1235" s="147">
        <f t="shared" si="66"/>
        <v>373225</v>
      </c>
    </row>
    <row r="1236" spans="1:5">
      <c r="A1236" s="81" t="s">
        <v>173</v>
      </c>
      <c r="B1236" s="296">
        <f>171020+8230+776</f>
        <v>180026</v>
      </c>
      <c r="C1236" s="296">
        <v>1870</v>
      </c>
      <c r="D1236" s="296"/>
      <c r="E1236" s="296">
        <f t="shared" si="66"/>
        <v>181896</v>
      </c>
    </row>
    <row r="1237" spans="1:5">
      <c r="A1237" s="123"/>
      <c r="B1237" s="289"/>
      <c r="C1237" s="289"/>
      <c r="D1237" s="289"/>
      <c r="E1237" s="289">
        <f t="shared" si="66"/>
        <v>0</v>
      </c>
    </row>
    <row r="1238" spans="1:5" ht="15">
      <c r="A1238" s="346" t="s">
        <v>195</v>
      </c>
      <c r="B1238" s="319">
        <f t="shared" ref="B1238:D1238" si="70">B1239</f>
        <v>134869</v>
      </c>
      <c r="C1238" s="319">
        <f t="shared" si="70"/>
        <v>20400</v>
      </c>
      <c r="D1238" s="319">
        <f t="shared" si="70"/>
        <v>18100</v>
      </c>
      <c r="E1238" s="319">
        <f t="shared" si="66"/>
        <v>173369</v>
      </c>
    </row>
    <row r="1239" spans="1:5">
      <c r="A1239" s="310" t="s">
        <v>196</v>
      </c>
      <c r="B1239" s="147">
        <f t="shared" ref="B1239:D1239" si="71">B1241</f>
        <v>134869</v>
      </c>
      <c r="C1239" s="147">
        <f t="shared" si="71"/>
        <v>20400</v>
      </c>
      <c r="D1239" s="147">
        <f t="shared" si="71"/>
        <v>18100</v>
      </c>
      <c r="E1239" s="147">
        <f t="shared" si="66"/>
        <v>173369</v>
      </c>
    </row>
    <row r="1240" spans="1:5">
      <c r="A1240" s="345" t="s">
        <v>179</v>
      </c>
      <c r="B1240" s="289"/>
      <c r="C1240" s="289"/>
      <c r="D1240" s="289"/>
      <c r="E1240" s="289">
        <f t="shared" si="66"/>
        <v>0</v>
      </c>
    </row>
    <row r="1241" spans="1:5">
      <c r="A1241" s="94" t="s">
        <v>476</v>
      </c>
      <c r="B1241" s="148">
        <v>134869</v>
      </c>
      <c r="C1241" s="148">
        <v>20400</v>
      </c>
      <c r="D1241" s="148">
        <v>18100</v>
      </c>
      <c r="E1241" s="148">
        <f t="shared" si="66"/>
        <v>173369</v>
      </c>
    </row>
    <row r="1242" spans="1:5">
      <c r="A1242" s="131" t="s">
        <v>173</v>
      </c>
      <c r="B1242" s="100">
        <v>71798</v>
      </c>
      <c r="C1242" s="100">
        <v>6278</v>
      </c>
      <c r="D1242" s="100">
        <v>6725</v>
      </c>
      <c r="E1242" s="100">
        <f t="shared" si="66"/>
        <v>84801</v>
      </c>
    </row>
    <row r="1243" spans="1:5">
      <c r="A1243" s="123"/>
      <c r="B1243" s="289"/>
      <c r="C1243" s="289"/>
      <c r="D1243" s="289"/>
      <c r="E1243" s="289">
        <f t="shared" si="66"/>
        <v>0</v>
      </c>
    </row>
    <row r="1244" spans="1:5" ht="15">
      <c r="A1244" s="300" t="s">
        <v>192</v>
      </c>
      <c r="B1244" s="319">
        <f t="shared" ref="B1244:D1244" si="72">B1245</f>
        <v>188061</v>
      </c>
      <c r="C1244" s="319">
        <f t="shared" si="72"/>
        <v>5182</v>
      </c>
      <c r="D1244" s="319">
        <f t="shared" si="72"/>
        <v>0</v>
      </c>
      <c r="E1244" s="319">
        <f t="shared" si="66"/>
        <v>193243</v>
      </c>
    </row>
    <row r="1245" spans="1:5">
      <c r="A1245" s="298" t="s">
        <v>193</v>
      </c>
      <c r="B1245" s="147">
        <f t="shared" ref="B1245:D1245" si="73">B1247</f>
        <v>188061</v>
      </c>
      <c r="C1245" s="147">
        <f t="shared" si="73"/>
        <v>5182</v>
      </c>
      <c r="D1245" s="147">
        <f t="shared" si="73"/>
        <v>0</v>
      </c>
      <c r="E1245" s="147">
        <f t="shared" si="66"/>
        <v>193243</v>
      </c>
    </row>
    <row r="1246" spans="1:5">
      <c r="A1246" s="305" t="s">
        <v>179</v>
      </c>
      <c r="B1246" s="289"/>
      <c r="C1246" s="289"/>
      <c r="D1246" s="289"/>
      <c r="E1246" s="289">
        <f t="shared" si="66"/>
        <v>0</v>
      </c>
    </row>
    <row r="1247" spans="1:5">
      <c r="A1247" s="94" t="s">
        <v>477</v>
      </c>
      <c r="B1247" s="148">
        <v>188061</v>
      </c>
      <c r="C1247" s="148">
        <v>5182</v>
      </c>
      <c r="D1247" s="148"/>
      <c r="E1247" s="148">
        <f t="shared" si="66"/>
        <v>193243</v>
      </c>
    </row>
    <row r="1248" spans="1:5">
      <c r="A1248" s="84" t="s">
        <v>173</v>
      </c>
      <c r="B1248" s="100">
        <v>85728</v>
      </c>
      <c r="C1248" s="100"/>
      <c r="D1248" s="100"/>
      <c r="E1248" s="100">
        <f t="shared" si="66"/>
        <v>85728</v>
      </c>
    </row>
    <row r="1249" spans="1:5">
      <c r="A1249" s="64"/>
      <c r="B1249" s="289"/>
      <c r="C1249" s="289"/>
      <c r="D1249" s="289"/>
      <c r="E1249" s="289">
        <f t="shared" si="66"/>
        <v>0</v>
      </c>
    </row>
    <row r="1250" spans="1:5" ht="15">
      <c r="A1250" s="130" t="s">
        <v>201</v>
      </c>
      <c r="B1250" s="319">
        <f>B1257</f>
        <v>690982</v>
      </c>
      <c r="C1250" s="319">
        <f>C1257+C1252</f>
        <v>203262</v>
      </c>
      <c r="D1250" s="319">
        <f>D1252+D1257</f>
        <v>5356</v>
      </c>
      <c r="E1250" s="319">
        <f t="shared" si="66"/>
        <v>899600</v>
      </c>
    </row>
    <row r="1251" spans="1:5" ht="15">
      <c r="A1251" s="130"/>
      <c r="B1251" s="319"/>
      <c r="C1251" s="319"/>
      <c r="D1251" s="319"/>
      <c r="E1251" s="319">
        <f t="shared" si="66"/>
        <v>0</v>
      </c>
    </row>
    <row r="1252" spans="1:5" ht="15">
      <c r="A1252" s="119" t="s">
        <v>205</v>
      </c>
      <c r="B1252" s="319"/>
      <c r="C1252" s="147">
        <f>C1254</f>
        <v>182304</v>
      </c>
      <c r="D1252" s="147">
        <f>D1254</f>
        <v>3656</v>
      </c>
      <c r="E1252" s="319">
        <f t="shared" si="66"/>
        <v>185960</v>
      </c>
    </row>
    <row r="1253" spans="1:5" ht="15">
      <c r="A1253" s="133" t="s">
        <v>179</v>
      </c>
      <c r="B1253" s="319"/>
      <c r="C1253" s="319"/>
      <c r="D1253" s="319"/>
      <c r="E1253" s="319">
        <f t="shared" si="66"/>
        <v>0</v>
      </c>
    </row>
    <row r="1254" spans="1:5" ht="15">
      <c r="A1254" s="134" t="s">
        <v>716</v>
      </c>
      <c r="B1254" s="319"/>
      <c r="C1254" s="148">
        <v>182304</v>
      </c>
      <c r="D1254" s="148">
        <v>3656</v>
      </c>
      <c r="E1254" s="319">
        <f t="shared" si="66"/>
        <v>185960</v>
      </c>
    </row>
    <row r="1255" spans="1:5" ht="15">
      <c r="A1255" s="84" t="s">
        <v>173</v>
      </c>
      <c r="B1255" s="319"/>
      <c r="C1255" s="100">
        <v>110204</v>
      </c>
      <c r="D1255" s="100">
        <v>2732</v>
      </c>
      <c r="E1255" s="319">
        <f t="shared" si="66"/>
        <v>112936</v>
      </c>
    </row>
    <row r="1256" spans="1:5" ht="15">
      <c r="A1256" s="84"/>
      <c r="B1256" s="319"/>
      <c r="C1256" s="319"/>
      <c r="D1256" s="319"/>
      <c r="E1256" s="319">
        <f t="shared" si="66"/>
        <v>0</v>
      </c>
    </row>
    <row r="1257" spans="1:5" ht="25.5">
      <c r="A1257" s="132" t="s">
        <v>259</v>
      </c>
      <c r="B1257" s="147">
        <f>B1259+B1263</f>
        <v>690982</v>
      </c>
      <c r="C1257" s="147">
        <f>C1259+C1263</f>
        <v>20958</v>
      </c>
      <c r="D1257" s="147">
        <f>D1259+D1263</f>
        <v>1700</v>
      </c>
      <c r="E1257" s="147">
        <f t="shared" si="66"/>
        <v>713640</v>
      </c>
    </row>
    <row r="1258" spans="1:5">
      <c r="A1258" s="133" t="s">
        <v>179</v>
      </c>
      <c r="B1258" s="288"/>
      <c r="C1258" s="288"/>
      <c r="D1258" s="288"/>
      <c r="E1258" s="288">
        <f t="shared" si="66"/>
        <v>0</v>
      </c>
    </row>
    <row r="1259" spans="1:5">
      <c r="A1259" s="134" t="s">
        <v>478</v>
      </c>
      <c r="B1259" s="148">
        <v>238582</v>
      </c>
      <c r="C1259" s="148">
        <v>-11771</v>
      </c>
      <c r="D1259" s="148">
        <v>1700</v>
      </c>
      <c r="E1259" s="148">
        <f t="shared" si="66"/>
        <v>228511</v>
      </c>
    </row>
    <row r="1260" spans="1:5">
      <c r="A1260" s="84" t="s">
        <v>173</v>
      </c>
      <c r="B1260" s="100">
        <v>146400</v>
      </c>
      <c r="C1260" s="100">
        <v>-8796</v>
      </c>
      <c r="D1260" s="100">
        <v>1270</v>
      </c>
      <c r="E1260" s="100">
        <f t="shared" si="66"/>
        <v>138874</v>
      </c>
    </row>
    <row r="1261" spans="1:5">
      <c r="A1261" s="103"/>
      <c r="B1261" s="289"/>
      <c r="C1261" s="289"/>
      <c r="D1261" s="289"/>
      <c r="E1261" s="289">
        <f t="shared" si="66"/>
        <v>0</v>
      </c>
    </row>
    <row r="1262" spans="1:5">
      <c r="A1262" s="133" t="s">
        <v>179</v>
      </c>
      <c r="B1262" s="288"/>
      <c r="C1262" s="288"/>
      <c r="D1262" s="288"/>
      <c r="E1262" s="288">
        <f t="shared" si="66"/>
        <v>0</v>
      </c>
    </row>
    <row r="1263" spans="1:5">
      <c r="A1263" s="134" t="s">
        <v>479</v>
      </c>
      <c r="B1263" s="148">
        <v>452400</v>
      </c>
      <c r="C1263" s="148">
        <v>32729</v>
      </c>
      <c r="D1263" s="148"/>
      <c r="E1263" s="148">
        <f t="shared" si="66"/>
        <v>485129</v>
      </c>
    </row>
    <row r="1264" spans="1:5">
      <c r="A1264" s="84" t="s">
        <v>173</v>
      </c>
      <c r="B1264" s="100">
        <v>327720</v>
      </c>
      <c r="C1264" s="100">
        <v>24461</v>
      </c>
      <c r="D1264" s="100"/>
      <c r="E1264" s="100">
        <f t="shared" si="66"/>
        <v>352181</v>
      </c>
    </row>
    <row r="1265" spans="1:6">
      <c r="A1265" s="103"/>
      <c r="B1265" s="289"/>
      <c r="C1265" s="289"/>
      <c r="D1265" s="289"/>
      <c r="E1265" s="289">
        <f t="shared" si="66"/>
        <v>0</v>
      </c>
    </row>
    <row r="1266" spans="1:6" ht="15">
      <c r="A1266" s="130" t="s">
        <v>254</v>
      </c>
      <c r="B1266" s="319">
        <f t="shared" ref="B1266:D1266" si="74">B1267</f>
        <v>204160</v>
      </c>
      <c r="C1266" s="319">
        <f t="shared" si="74"/>
        <v>0</v>
      </c>
      <c r="D1266" s="319">
        <f t="shared" si="74"/>
        <v>78248</v>
      </c>
      <c r="E1266" s="319">
        <f t="shared" si="66"/>
        <v>282408</v>
      </c>
    </row>
    <row r="1267" spans="1:6">
      <c r="A1267" s="298" t="s">
        <v>255</v>
      </c>
      <c r="B1267" s="147">
        <v>204160</v>
      </c>
      <c r="C1267" s="147"/>
      <c r="D1267" s="147">
        <v>78248</v>
      </c>
      <c r="E1267" s="147">
        <f t="shared" si="66"/>
        <v>282408</v>
      </c>
    </row>
    <row r="1268" spans="1:6">
      <c r="A1268" s="135"/>
      <c r="B1268" s="71"/>
      <c r="C1268" s="150"/>
      <c r="D1268" s="87">
        <v>55000</v>
      </c>
      <c r="E1268" s="71">
        <f t="shared" si="66"/>
        <v>55000</v>
      </c>
    </row>
    <row r="1269" spans="1:6" ht="15">
      <c r="A1269" s="130" t="s">
        <v>218</v>
      </c>
      <c r="B1269" s="319">
        <f t="shared" ref="B1269:D1269" si="75">B1270</f>
        <v>516800</v>
      </c>
      <c r="C1269" s="319">
        <f t="shared" si="75"/>
        <v>0</v>
      </c>
      <c r="D1269" s="319">
        <f t="shared" si="75"/>
        <v>0</v>
      </c>
      <c r="E1269" s="319">
        <f t="shared" si="66"/>
        <v>516800</v>
      </c>
    </row>
    <row r="1270" spans="1:6">
      <c r="A1270" s="298" t="s">
        <v>219</v>
      </c>
      <c r="B1270" s="147">
        <f>B1272+B1275</f>
        <v>516800</v>
      </c>
      <c r="C1270" s="147">
        <f>C1272+C1275</f>
        <v>0</v>
      </c>
      <c r="D1270" s="147">
        <f>D1272+D1275</f>
        <v>0</v>
      </c>
      <c r="E1270" s="147">
        <f t="shared" si="66"/>
        <v>516800</v>
      </c>
    </row>
    <row r="1271" spans="1:6">
      <c r="A1271" s="305" t="s">
        <v>179</v>
      </c>
      <c r="B1271" s="149"/>
      <c r="C1271" s="149"/>
      <c r="D1271" s="149"/>
      <c r="E1271" s="149">
        <f t="shared" si="66"/>
        <v>0</v>
      </c>
    </row>
    <row r="1272" spans="1:6" s="286" customFormat="1">
      <c r="A1272" s="94" t="s">
        <v>220</v>
      </c>
      <c r="B1272" s="71">
        <v>426800</v>
      </c>
      <c r="C1272" s="71"/>
      <c r="D1272" s="71"/>
      <c r="E1272" s="71">
        <f t="shared" si="66"/>
        <v>426800</v>
      </c>
      <c r="F1272" s="250"/>
    </row>
    <row r="1273" spans="1:6">
      <c r="A1273" s="93"/>
      <c r="B1273" s="288"/>
      <c r="C1273" s="288"/>
      <c r="D1273" s="288"/>
      <c r="E1273" s="288">
        <f t="shared" si="66"/>
        <v>0</v>
      </c>
    </row>
    <row r="1274" spans="1:6">
      <c r="A1274" s="305" t="s">
        <v>240</v>
      </c>
      <c r="B1274" s="149"/>
      <c r="C1274" s="149"/>
      <c r="D1274" s="149"/>
      <c r="E1274" s="149">
        <f t="shared" si="66"/>
        <v>0</v>
      </c>
    </row>
    <row r="1275" spans="1:6">
      <c r="A1275" s="94" t="s">
        <v>264</v>
      </c>
      <c r="B1275" s="71">
        <v>90000</v>
      </c>
      <c r="C1275" s="71"/>
      <c r="D1275" s="71"/>
      <c r="E1275" s="71">
        <f t="shared" si="66"/>
        <v>90000</v>
      </c>
    </row>
    <row r="1276" spans="1:6">
      <c r="A1276" s="233"/>
      <c r="B1276" s="288"/>
      <c r="C1276" s="288"/>
      <c r="D1276" s="288"/>
      <c r="E1276" s="288">
        <f t="shared" si="66"/>
        <v>0</v>
      </c>
    </row>
    <row r="1277" spans="1:6">
      <c r="A1277" s="137" t="s">
        <v>172</v>
      </c>
      <c r="B1277" s="284">
        <f>B1279+B1282+B1286+B1288+B1293+B1284+B1290</f>
        <v>3114827</v>
      </c>
      <c r="C1277" s="284">
        <f>C1279+C1282+C1286+C1288+C1293+C1284+C1290</f>
        <v>2540</v>
      </c>
      <c r="D1277" s="284">
        <f>D1279+D1282+D1286+D1288+D1293+D1284+D1290</f>
        <v>2282</v>
      </c>
      <c r="E1277" s="284">
        <f t="shared" si="66"/>
        <v>3119649</v>
      </c>
    </row>
    <row r="1278" spans="1:6">
      <c r="A1278" s="137"/>
      <c r="B1278" s="288"/>
      <c r="C1278" s="288"/>
      <c r="D1278" s="288"/>
      <c r="E1278" s="288">
        <f t="shared" si="66"/>
        <v>0</v>
      </c>
    </row>
    <row r="1279" spans="1:6">
      <c r="A1279" s="82" t="s">
        <v>260</v>
      </c>
      <c r="B1279" s="288">
        <f>2510223+11560+6262</f>
        <v>2528045</v>
      </c>
      <c r="C1279" s="288"/>
      <c r="D1279" s="288">
        <v>5422</v>
      </c>
      <c r="E1279" s="288">
        <f t="shared" si="66"/>
        <v>2533467</v>
      </c>
    </row>
    <row r="1280" spans="1:6">
      <c r="A1280" s="78" t="s">
        <v>173</v>
      </c>
      <c r="B1280" s="289">
        <f>1395196+8640+4680</f>
        <v>1408516</v>
      </c>
      <c r="C1280" s="289">
        <v>3745</v>
      </c>
      <c r="D1280" s="289">
        <v>4051</v>
      </c>
      <c r="E1280" s="289">
        <f t="shared" si="66"/>
        <v>1416312</v>
      </c>
    </row>
    <row r="1281" spans="1:5">
      <c r="A1281" s="291"/>
      <c r="B1281" s="288"/>
      <c r="C1281" s="288"/>
      <c r="D1281" s="288"/>
      <c r="E1281" s="288">
        <f t="shared" si="66"/>
        <v>0</v>
      </c>
    </row>
    <row r="1282" spans="1:5" ht="25.5">
      <c r="A1282" s="138" t="s">
        <v>656</v>
      </c>
      <c r="B1282" s="288">
        <v>110000</v>
      </c>
      <c r="C1282" s="288"/>
      <c r="D1282" s="288">
        <v>16050</v>
      </c>
      <c r="E1282" s="288">
        <f t="shared" si="66"/>
        <v>126050</v>
      </c>
    </row>
    <row r="1283" spans="1:5">
      <c r="A1283" s="291"/>
      <c r="B1283" s="288"/>
      <c r="C1283" s="288"/>
      <c r="D1283" s="288"/>
      <c r="E1283" s="288">
        <f t="shared" si="66"/>
        <v>0</v>
      </c>
    </row>
    <row r="1284" spans="1:5">
      <c r="A1284" s="138" t="s">
        <v>28</v>
      </c>
      <c r="B1284" s="288">
        <v>75000</v>
      </c>
      <c r="C1284" s="288"/>
      <c r="D1284" s="288"/>
      <c r="E1284" s="288">
        <f t="shared" si="66"/>
        <v>75000</v>
      </c>
    </row>
    <row r="1285" spans="1:5">
      <c r="A1285" s="291"/>
      <c r="B1285" s="288"/>
      <c r="C1285" s="288"/>
      <c r="D1285" s="288"/>
      <c r="E1285" s="288">
        <f t="shared" si="66"/>
        <v>0</v>
      </c>
    </row>
    <row r="1286" spans="1:5">
      <c r="A1286" s="86" t="s">
        <v>261</v>
      </c>
      <c r="B1286" s="151">
        <v>48300</v>
      </c>
      <c r="C1286" s="151">
        <v>2540</v>
      </c>
      <c r="D1286" s="151">
        <v>16620</v>
      </c>
      <c r="E1286" s="151">
        <f t="shared" si="66"/>
        <v>67460</v>
      </c>
    </row>
    <row r="1287" spans="1:5">
      <c r="A1287" s="86"/>
      <c r="B1287" s="151"/>
      <c r="C1287" s="151"/>
      <c r="D1287" s="151"/>
      <c r="E1287" s="151">
        <f t="shared" ref="E1287:E1350" si="76">SUM(B1287:D1287)</f>
        <v>0</v>
      </c>
    </row>
    <row r="1288" spans="1:5">
      <c r="A1288" s="77" t="s">
        <v>265</v>
      </c>
      <c r="B1288" s="148">
        <v>75000</v>
      </c>
      <c r="C1288" s="148"/>
      <c r="D1288" s="148"/>
      <c r="E1288" s="148">
        <f t="shared" si="76"/>
        <v>75000</v>
      </c>
    </row>
    <row r="1289" spans="1:5">
      <c r="A1289" s="122"/>
      <c r="B1289" s="288"/>
      <c r="C1289" s="288"/>
      <c r="D1289" s="288"/>
      <c r="E1289" s="288">
        <f t="shared" si="76"/>
        <v>0</v>
      </c>
    </row>
    <row r="1290" spans="1:5">
      <c r="A1290" s="82" t="s">
        <v>539</v>
      </c>
      <c r="B1290" s="148">
        <v>248482</v>
      </c>
      <c r="C1290" s="148"/>
      <c r="D1290" s="148">
        <v>-7810</v>
      </c>
      <c r="E1290" s="148">
        <f t="shared" si="76"/>
        <v>240672</v>
      </c>
    </row>
    <row r="1291" spans="1:5">
      <c r="A1291" s="78" t="s">
        <v>173</v>
      </c>
      <c r="B1291" s="289">
        <v>92960</v>
      </c>
      <c r="C1291" s="289"/>
      <c r="D1291" s="289"/>
      <c r="E1291" s="289">
        <f t="shared" si="76"/>
        <v>92960</v>
      </c>
    </row>
    <row r="1292" spans="1:5">
      <c r="A1292" s="122"/>
      <c r="B1292" s="288"/>
      <c r="C1292" s="288"/>
      <c r="D1292" s="288"/>
      <c r="E1292" s="288">
        <f t="shared" si="76"/>
        <v>0</v>
      </c>
    </row>
    <row r="1293" spans="1:5">
      <c r="A1293" s="77" t="s">
        <v>22</v>
      </c>
      <c r="B1293" s="288">
        <v>30000</v>
      </c>
      <c r="C1293" s="288"/>
      <c r="D1293" s="288">
        <v>-28000</v>
      </c>
      <c r="E1293" s="288">
        <f t="shared" si="76"/>
        <v>2000</v>
      </c>
    </row>
    <row r="1294" spans="1:5">
      <c r="A1294" s="293"/>
      <c r="B1294" s="288"/>
      <c r="C1294" s="288"/>
      <c r="D1294" s="288"/>
      <c r="E1294" s="288">
        <f t="shared" si="76"/>
        <v>0</v>
      </c>
    </row>
    <row r="1295" spans="1:5">
      <c r="A1295" s="293"/>
      <c r="B1295" s="288"/>
      <c r="C1295" s="288"/>
      <c r="D1295" s="288"/>
      <c r="E1295" s="288">
        <f t="shared" si="76"/>
        <v>0</v>
      </c>
    </row>
    <row r="1296" spans="1:5" ht="15.75">
      <c r="A1296" s="95" t="s">
        <v>23</v>
      </c>
      <c r="B1296" s="288"/>
      <c r="C1296" s="288"/>
      <c r="D1296" s="288"/>
      <c r="E1296" s="288">
        <f t="shared" si="76"/>
        <v>0</v>
      </c>
    </row>
    <row r="1297" spans="1:5">
      <c r="A1297" s="293"/>
      <c r="B1297" s="288"/>
      <c r="C1297" s="288"/>
      <c r="D1297" s="288"/>
      <c r="E1297" s="288">
        <f t="shared" si="76"/>
        <v>0</v>
      </c>
    </row>
    <row r="1298" spans="1:5">
      <c r="A1298" s="90" t="s">
        <v>168</v>
      </c>
      <c r="B1298" s="284">
        <f>B1304+B1325+B1328+B1314+B1308</f>
        <v>2795363</v>
      </c>
      <c r="C1298" s="284">
        <f>C1304+C1325+C1328+C1314+C1308</f>
        <v>59961</v>
      </c>
      <c r="D1298" s="284">
        <f>D1304+D1325+D1328+D1314+D1308</f>
        <v>-5300</v>
      </c>
      <c r="E1298" s="284">
        <f t="shared" si="76"/>
        <v>2850024</v>
      </c>
    </row>
    <row r="1299" spans="1:5">
      <c r="A1299" s="67" t="s">
        <v>185</v>
      </c>
      <c r="B1299" s="285">
        <v>174200</v>
      </c>
      <c r="C1299" s="285"/>
      <c r="D1299" s="285"/>
      <c r="E1299" s="285">
        <f t="shared" si="76"/>
        <v>174200</v>
      </c>
    </row>
    <row r="1300" spans="1:5">
      <c r="A1300" s="91" t="s">
        <v>169</v>
      </c>
      <c r="B1300" s="284">
        <f t="shared" ref="B1300:D1300" si="77">B1301+B1302</f>
        <v>2795363</v>
      </c>
      <c r="C1300" s="284">
        <f t="shared" si="77"/>
        <v>59961</v>
      </c>
      <c r="D1300" s="284">
        <f t="shared" si="77"/>
        <v>-5300</v>
      </c>
      <c r="E1300" s="284">
        <f t="shared" si="76"/>
        <v>2850024</v>
      </c>
    </row>
    <row r="1301" spans="1:5">
      <c r="A1301" s="92" t="s">
        <v>170</v>
      </c>
      <c r="B1301" s="285">
        <v>700100</v>
      </c>
      <c r="C1301" s="285">
        <v>8900</v>
      </c>
      <c r="D1301" s="285">
        <v>-315</v>
      </c>
      <c r="E1301" s="285">
        <f t="shared" si="76"/>
        <v>708685</v>
      </c>
    </row>
    <row r="1302" spans="1:5">
      <c r="A1302" s="93" t="s">
        <v>171</v>
      </c>
      <c r="B1302" s="285">
        <f t="shared" ref="B1302:D1302" si="78">B1298-B1301</f>
        <v>2095263</v>
      </c>
      <c r="C1302" s="285">
        <f t="shared" si="78"/>
        <v>51061</v>
      </c>
      <c r="D1302" s="285">
        <f t="shared" si="78"/>
        <v>-4985</v>
      </c>
      <c r="E1302" s="285">
        <f t="shared" si="76"/>
        <v>2141339</v>
      </c>
    </row>
    <row r="1303" spans="1:5">
      <c r="A1303" s="93"/>
      <c r="B1303" s="285"/>
      <c r="C1303" s="285"/>
      <c r="D1303" s="285"/>
      <c r="E1303" s="285">
        <f t="shared" si="76"/>
        <v>0</v>
      </c>
    </row>
    <row r="1304" spans="1:5" ht="15">
      <c r="A1304" s="130" t="s">
        <v>186</v>
      </c>
      <c r="B1304" s="319">
        <f t="shared" ref="B1304:D1304" si="79">B1305</f>
        <v>185348</v>
      </c>
      <c r="C1304" s="319">
        <f t="shared" si="79"/>
        <v>4520</v>
      </c>
      <c r="D1304" s="319">
        <f t="shared" si="79"/>
        <v>0</v>
      </c>
      <c r="E1304" s="319">
        <f t="shared" si="76"/>
        <v>189868</v>
      </c>
    </row>
    <row r="1305" spans="1:5">
      <c r="A1305" s="298" t="s">
        <v>583</v>
      </c>
      <c r="B1305" s="147">
        <f>180972+3750+626</f>
        <v>185348</v>
      </c>
      <c r="C1305" s="147">
        <v>4520</v>
      </c>
      <c r="D1305" s="147"/>
      <c r="E1305" s="147">
        <f t="shared" si="76"/>
        <v>189868</v>
      </c>
    </row>
    <row r="1306" spans="1:5">
      <c r="A1306" s="81" t="s">
        <v>173</v>
      </c>
      <c r="B1306" s="289">
        <f>95900+2803+467</f>
        <v>99170</v>
      </c>
      <c r="C1306" s="289"/>
      <c r="D1306" s="289"/>
      <c r="E1306" s="289">
        <f t="shared" si="76"/>
        <v>99170</v>
      </c>
    </row>
    <row r="1307" spans="1:5">
      <c r="A1307" s="123"/>
      <c r="B1307" s="289"/>
      <c r="C1307" s="289"/>
      <c r="D1307" s="289"/>
      <c r="E1307" s="289">
        <f t="shared" si="76"/>
        <v>0</v>
      </c>
    </row>
    <row r="1308" spans="1:5" ht="15">
      <c r="A1308" s="346" t="s">
        <v>195</v>
      </c>
      <c r="B1308" s="319">
        <f t="shared" ref="B1308:D1308" si="80">B1309</f>
        <v>116363</v>
      </c>
      <c r="C1308" s="319">
        <f t="shared" si="80"/>
        <v>0</v>
      </c>
      <c r="D1308" s="319">
        <f t="shared" si="80"/>
        <v>0</v>
      </c>
      <c r="E1308" s="319">
        <f t="shared" si="76"/>
        <v>116363</v>
      </c>
    </row>
    <row r="1309" spans="1:5">
      <c r="A1309" s="310" t="s">
        <v>196</v>
      </c>
      <c r="B1309" s="147">
        <f t="shared" ref="B1309:D1309" si="81">B1311</f>
        <v>116363</v>
      </c>
      <c r="C1309" s="147">
        <f t="shared" si="81"/>
        <v>0</v>
      </c>
      <c r="D1309" s="147">
        <f t="shared" si="81"/>
        <v>0</v>
      </c>
      <c r="E1309" s="147">
        <f t="shared" si="76"/>
        <v>116363</v>
      </c>
    </row>
    <row r="1310" spans="1:5">
      <c r="A1310" s="345" t="s">
        <v>179</v>
      </c>
      <c r="B1310" s="288"/>
      <c r="C1310" s="288"/>
      <c r="D1310" s="288"/>
      <c r="E1310" s="288">
        <f t="shared" si="76"/>
        <v>0</v>
      </c>
    </row>
    <row r="1311" spans="1:5">
      <c r="A1311" s="94" t="s">
        <v>584</v>
      </c>
      <c r="B1311" s="288">
        <f>107281+9082</f>
        <v>116363</v>
      </c>
      <c r="C1311" s="288"/>
      <c r="D1311" s="288"/>
      <c r="E1311" s="288">
        <f t="shared" si="76"/>
        <v>116363</v>
      </c>
    </row>
    <row r="1312" spans="1:5">
      <c r="A1312" s="131" t="s">
        <v>173</v>
      </c>
      <c r="B1312" s="289">
        <v>59664</v>
      </c>
      <c r="C1312" s="289"/>
      <c r="D1312" s="289"/>
      <c r="E1312" s="289">
        <f t="shared" si="76"/>
        <v>59664</v>
      </c>
    </row>
    <row r="1313" spans="1:6">
      <c r="A1313" s="123"/>
      <c r="B1313" s="289"/>
      <c r="C1313" s="289"/>
      <c r="D1313" s="289"/>
      <c r="E1313" s="289">
        <f t="shared" si="76"/>
        <v>0</v>
      </c>
    </row>
    <row r="1314" spans="1:6" ht="15">
      <c r="A1314" s="130" t="s">
        <v>201</v>
      </c>
      <c r="B1314" s="319">
        <f t="shared" ref="B1314:D1314" si="82">B1316</f>
        <v>663404</v>
      </c>
      <c r="C1314" s="319">
        <f t="shared" si="82"/>
        <v>19561</v>
      </c>
      <c r="D1314" s="319">
        <f t="shared" si="82"/>
        <v>0</v>
      </c>
      <c r="E1314" s="319">
        <f t="shared" si="76"/>
        <v>682965</v>
      </c>
    </row>
    <row r="1315" spans="1:6">
      <c r="A1315" s="141"/>
      <c r="B1315" s="288"/>
      <c r="C1315" s="288"/>
      <c r="D1315" s="288"/>
      <c r="E1315" s="288">
        <f t="shared" si="76"/>
        <v>0</v>
      </c>
    </row>
    <row r="1316" spans="1:6" ht="25.5">
      <c r="A1316" s="132" t="s">
        <v>259</v>
      </c>
      <c r="B1316" s="147">
        <f>B1318+B1322</f>
        <v>663404</v>
      </c>
      <c r="C1316" s="147">
        <f>C1318+C1322</f>
        <v>19561</v>
      </c>
      <c r="D1316" s="147">
        <f>D1318+D1322</f>
        <v>0</v>
      </c>
      <c r="E1316" s="147">
        <f t="shared" si="76"/>
        <v>682965</v>
      </c>
    </row>
    <row r="1317" spans="1:6">
      <c r="A1317" s="133" t="s">
        <v>179</v>
      </c>
      <c r="B1317" s="149"/>
      <c r="C1317" s="149"/>
      <c r="D1317" s="149"/>
      <c r="E1317" s="149">
        <f t="shared" si="76"/>
        <v>0</v>
      </c>
    </row>
    <row r="1318" spans="1:6">
      <c r="A1318" s="134" t="s">
        <v>552</v>
      </c>
      <c r="B1318" s="288">
        <v>275310</v>
      </c>
      <c r="C1318" s="288">
        <v>6524</v>
      </c>
      <c r="D1318" s="288"/>
      <c r="E1318" s="288">
        <f t="shared" si="76"/>
        <v>281834</v>
      </c>
    </row>
    <row r="1319" spans="1:6">
      <c r="A1319" s="84" t="s">
        <v>173</v>
      </c>
      <c r="B1319" s="100">
        <v>144745</v>
      </c>
      <c r="C1319" s="100">
        <v>3785</v>
      </c>
      <c r="D1319" s="100"/>
      <c r="E1319" s="100">
        <f t="shared" si="76"/>
        <v>148530</v>
      </c>
    </row>
    <row r="1320" spans="1:6">
      <c r="A1320" s="115"/>
      <c r="B1320" s="148"/>
      <c r="C1320" s="148"/>
      <c r="D1320" s="148"/>
      <c r="E1320" s="148">
        <f t="shared" si="76"/>
        <v>0</v>
      </c>
    </row>
    <row r="1321" spans="1:6">
      <c r="A1321" s="133" t="s">
        <v>179</v>
      </c>
      <c r="B1321" s="148"/>
      <c r="C1321" s="148"/>
      <c r="D1321" s="148"/>
      <c r="E1321" s="148">
        <f t="shared" si="76"/>
        <v>0</v>
      </c>
    </row>
    <row r="1322" spans="1:6">
      <c r="A1322" s="134" t="s">
        <v>553</v>
      </c>
      <c r="B1322" s="288">
        <v>388094</v>
      </c>
      <c r="C1322" s="288">
        <v>13037</v>
      </c>
      <c r="D1322" s="288"/>
      <c r="E1322" s="288">
        <f t="shared" si="76"/>
        <v>401131</v>
      </c>
    </row>
    <row r="1323" spans="1:6">
      <c r="A1323" s="84" t="s">
        <v>173</v>
      </c>
      <c r="B1323" s="100">
        <v>278560</v>
      </c>
      <c r="C1323" s="100">
        <v>8219</v>
      </c>
      <c r="D1323" s="100"/>
      <c r="E1323" s="100">
        <f t="shared" si="76"/>
        <v>286779</v>
      </c>
    </row>
    <row r="1324" spans="1:6">
      <c r="A1324" s="84"/>
      <c r="B1324" s="100"/>
      <c r="C1324" s="100"/>
      <c r="D1324" s="100"/>
      <c r="E1324" s="100">
        <f t="shared" si="76"/>
        <v>0</v>
      </c>
    </row>
    <row r="1325" spans="1:6" s="286" customFormat="1" ht="15">
      <c r="A1325" s="130" t="s">
        <v>254</v>
      </c>
      <c r="B1325" s="319">
        <f t="shared" ref="B1325:D1325" si="83">B1326</f>
        <v>105700</v>
      </c>
      <c r="C1325" s="319">
        <f t="shared" si="83"/>
        <v>0</v>
      </c>
      <c r="D1325" s="319">
        <f t="shared" si="83"/>
        <v>0</v>
      </c>
      <c r="E1325" s="319">
        <f t="shared" si="76"/>
        <v>105700</v>
      </c>
      <c r="F1325" s="250"/>
    </row>
    <row r="1326" spans="1:6">
      <c r="A1326" s="298" t="s">
        <v>255</v>
      </c>
      <c r="B1326" s="147">
        <v>105700</v>
      </c>
      <c r="C1326" s="147"/>
      <c r="D1326" s="147"/>
      <c r="E1326" s="147">
        <f t="shared" si="76"/>
        <v>105700</v>
      </c>
    </row>
    <row r="1327" spans="1:6">
      <c r="A1327" s="135"/>
      <c r="B1327" s="71"/>
      <c r="C1327" s="150"/>
      <c r="D1327" s="150"/>
      <c r="E1327" s="71">
        <f t="shared" si="76"/>
        <v>0</v>
      </c>
    </row>
    <row r="1328" spans="1:6">
      <c r="A1328" s="137" t="s">
        <v>172</v>
      </c>
      <c r="B1328" s="284">
        <f>B1330+B1333+B1337+B1339+B1343+B1345+B1341+B1335</f>
        <v>1724548</v>
      </c>
      <c r="C1328" s="284">
        <f>C1330+C1333+C1337+C1339+C1343+C1345+C1341+C1335+C1347</f>
        <v>35880</v>
      </c>
      <c r="D1328" s="284">
        <f>D1330+D1333+D1337+D1339+D1343+D1345+D1341+D1335</f>
        <v>-5300</v>
      </c>
      <c r="E1328" s="284">
        <f t="shared" si="76"/>
        <v>1755128</v>
      </c>
    </row>
    <row r="1329" spans="1:5">
      <c r="A1329" s="137"/>
      <c r="B1329" s="288"/>
      <c r="C1329" s="288"/>
      <c r="D1329" s="288"/>
      <c r="E1329" s="288">
        <f t="shared" si="76"/>
        <v>0</v>
      </c>
    </row>
    <row r="1330" spans="1:5">
      <c r="A1330" s="82" t="s">
        <v>260</v>
      </c>
      <c r="B1330" s="288">
        <f>1418052+11496+2870</f>
        <v>1432418</v>
      </c>
      <c r="C1330" s="288">
        <v>10480</v>
      </c>
      <c r="D1330" s="288">
        <f>4915-1500-6000</f>
        <v>-2585</v>
      </c>
      <c r="E1330" s="288">
        <f t="shared" si="76"/>
        <v>1440313</v>
      </c>
    </row>
    <row r="1331" spans="1:5">
      <c r="A1331" s="78" t="s">
        <v>173</v>
      </c>
      <c r="B1331" s="289">
        <f>891380+8592+2145</f>
        <v>902117</v>
      </c>
      <c r="C1331" s="289"/>
      <c r="D1331" s="289">
        <f>-811-1128-4511</f>
        <v>-6450</v>
      </c>
      <c r="E1331" s="289">
        <f t="shared" si="76"/>
        <v>895667</v>
      </c>
    </row>
    <row r="1332" spans="1:5">
      <c r="A1332" s="77"/>
      <c r="B1332" s="288"/>
      <c r="C1332" s="288"/>
      <c r="D1332" s="288"/>
      <c r="E1332" s="288">
        <f t="shared" si="76"/>
        <v>0</v>
      </c>
    </row>
    <row r="1333" spans="1:5" ht="25.5">
      <c r="A1333" s="138" t="s">
        <v>656</v>
      </c>
      <c r="B1333" s="288">
        <v>40000</v>
      </c>
      <c r="C1333" s="288"/>
      <c r="D1333" s="288"/>
      <c r="E1333" s="288">
        <f t="shared" si="76"/>
        <v>40000</v>
      </c>
    </row>
    <row r="1334" spans="1:5">
      <c r="A1334" s="291"/>
      <c r="B1334" s="288"/>
      <c r="C1334" s="288"/>
      <c r="D1334" s="288"/>
      <c r="E1334" s="288">
        <f t="shared" si="76"/>
        <v>0</v>
      </c>
    </row>
    <row r="1335" spans="1:5">
      <c r="A1335" s="138" t="s">
        <v>28</v>
      </c>
      <c r="B1335" s="288">
        <v>57000</v>
      </c>
      <c r="C1335" s="288"/>
      <c r="D1335" s="288"/>
      <c r="E1335" s="288">
        <f t="shared" si="76"/>
        <v>57000</v>
      </c>
    </row>
    <row r="1336" spans="1:5">
      <c r="A1336" s="291"/>
      <c r="B1336" s="288"/>
      <c r="C1336" s="288"/>
      <c r="D1336" s="288"/>
      <c r="E1336" s="288">
        <f t="shared" si="76"/>
        <v>0</v>
      </c>
    </row>
    <row r="1337" spans="1:5">
      <c r="A1337" s="291" t="s">
        <v>24</v>
      </c>
      <c r="B1337" s="288">
        <v>4000</v>
      </c>
      <c r="C1337" s="288"/>
      <c r="D1337" s="288"/>
      <c r="E1337" s="288">
        <f t="shared" si="76"/>
        <v>4000</v>
      </c>
    </row>
    <row r="1338" spans="1:5">
      <c r="A1338" s="122"/>
      <c r="B1338" s="153"/>
      <c r="C1338" s="153"/>
      <c r="D1338" s="153"/>
      <c r="E1338" s="153">
        <f t="shared" si="76"/>
        <v>0</v>
      </c>
    </row>
    <row r="1339" spans="1:5">
      <c r="A1339" s="86" t="s">
        <v>261</v>
      </c>
      <c r="B1339" s="151">
        <v>40730</v>
      </c>
      <c r="C1339" s="151">
        <v>3400</v>
      </c>
      <c r="D1339" s="151">
        <v>4500</v>
      </c>
      <c r="E1339" s="151">
        <f t="shared" si="76"/>
        <v>48630</v>
      </c>
    </row>
    <row r="1340" spans="1:5">
      <c r="A1340" s="77"/>
      <c r="B1340" s="148"/>
      <c r="C1340" s="148"/>
      <c r="D1340" s="148"/>
      <c r="E1340" s="148">
        <f t="shared" si="76"/>
        <v>0</v>
      </c>
    </row>
    <row r="1341" spans="1:5">
      <c r="A1341" s="77" t="s">
        <v>264</v>
      </c>
      <c r="B1341" s="71">
        <v>50200</v>
      </c>
      <c r="C1341" s="71"/>
      <c r="D1341" s="71">
        <v>-7215</v>
      </c>
      <c r="E1341" s="71">
        <f t="shared" si="76"/>
        <v>42985</v>
      </c>
    </row>
    <row r="1342" spans="1:5">
      <c r="A1342" s="86"/>
      <c r="B1342" s="151"/>
      <c r="C1342" s="151"/>
      <c r="D1342" s="151"/>
      <c r="E1342" s="151">
        <f t="shared" si="76"/>
        <v>0</v>
      </c>
    </row>
    <row r="1343" spans="1:5">
      <c r="A1343" s="77" t="s">
        <v>265</v>
      </c>
      <c r="B1343" s="148">
        <v>82200</v>
      </c>
      <c r="C1343" s="148"/>
      <c r="D1343" s="148"/>
      <c r="E1343" s="148">
        <f t="shared" si="76"/>
        <v>82200</v>
      </c>
    </row>
    <row r="1344" spans="1:5">
      <c r="A1344" s="122"/>
      <c r="B1344" s="288"/>
      <c r="C1344" s="288"/>
      <c r="D1344" s="288"/>
      <c r="E1344" s="288">
        <f t="shared" si="76"/>
        <v>0</v>
      </c>
    </row>
    <row r="1345" spans="1:5">
      <c r="A1345" s="77" t="s">
        <v>22</v>
      </c>
      <c r="B1345" s="288">
        <v>18000</v>
      </c>
      <c r="C1345" s="288"/>
      <c r="D1345" s="288"/>
      <c r="E1345" s="288">
        <f t="shared" si="76"/>
        <v>18000</v>
      </c>
    </row>
    <row r="1346" spans="1:5">
      <c r="A1346" s="77"/>
      <c r="B1346" s="288"/>
      <c r="C1346" s="288"/>
      <c r="D1346" s="288"/>
      <c r="E1346" s="288">
        <f t="shared" si="76"/>
        <v>0</v>
      </c>
    </row>
    <row r="1347" spans="1:5">
      <c r="A1347" s="86" t="s">
        <v>717</v>
      </c>
      <c r="B1347" s="288"/>
      <c r="C1347" s="288">
        <v>22000</v>
      </c>
      <c r="D1347" s="288"/>
      <c r="E1347" s="288">
        <f t="shared" si="76"/>
        <v>22000</v>
      </c>
    </row>
    <row r="1348" spans="1:5">
      <c r="A1348" s="293"/>
      <c r="B1348" s="288"/>
      <c r="C1348" s="288"/>
      <c r="D1348" s="288"/>
      <c r="E1348" s="288">
        <f t="shared" si="76"/>
        <v>0</v>
      </c>
    </row>
    <row r="1349" spans="1:5" ht="15.75">
      <c r="A1349" s="95" t="s">
        <v>25</v>
      </c>
      <c r="B1349" s="288"/>
      <c r="C1349" s="288"/>
      <c r="D1349" s="288"/>
      <c r="E1349" s="288">
        <f t="shared" si="76"/>
        <v>0</v>
      </c>
    </row>
    <row r="1350" spans="1:5">
      <c r="A1350" s="293"/>
      <c r="B1350" s="288"/>
      <c r="C1350" s="288"/>
      <c r="D1350" s="288"/>
      <c r="E1350" s="288">
        <f t="shared" si="76"/>
        <v>0</v>
      </c>
    </row>
    <row r="1351" spans="1:5">
      <c r="A1351" s="90" t="s">
        <v>168</v>
      </c>
      <c r="B1351" s="284">
        <f>B1357+B1367+B1395+B1392+B1361</f>
        <v>2574291</v>
      </c>
      <c r="C1351" s="284">
        <f>C1357+C1367+C1395+C1392+C1361</f>
        <v>48362</v>
      </c>
      <c r="D1351" s="284">
        <f>D1357+D1367+D1395+D1392+D1361</f>
        <v>16510</v>
      </c>
      <c r="E1351" s="284">
        <f t="shared" ref="E1351:E1414" si="84">SUM(B1351:D1351)</f>
        <v>2639163</v>
      </c>
    </row>
    <row r="1352" spans="1:5">
      <c r="A1352" s="67" t="s">
        <v>185</v>
      </c>
      <c r="B1352" s="285">
        <v>294000</v>
      </c>
      <c r="C1352" s="285"/>
      <c r="D1352" s="285"/>
      <c r="E1352" s="285">
        <f t="shared" si="84"/>
        <v>294000</v>
      </c>
    </row>
    <row r="1353" spans="1:5">
      <c r="A1353" s="91" t="s">
        <v>169</v>
      </c>
      <c r="B1353" s="284">
        <f t="shared" ref="B1353:D1353" si="85">B1354+B1355</f>
        <v>2574291</v>
      </c>
      <c r="C1353" s="284">
        <f t="shared" si="85"/>
        <v>48362</v>
      </c>
      <c r="D1353" s="284">
        <f t="shared" si="85"/>
        <v>16510</v>
      </c>
      <c r="E1353" s="284">
        <f t="shared" si="84"/>
        <v>2639163</v>
      </c>
    </row>
    <row r="1354" spans="1:5">
      <c r="A1354" s="92" t="s">
        <v>170</v>
      </c>
      <c r="B1354" s="285">
        <v>575107</v>
      </c>
      <c r="C1354" s="285">
        <v>29200</v>
      </c>
      <c r="D1354" s="285">
        <v>11367</v>
      </c>
      <c r="E1354" s="285">
        <f t="shared" si="84"/>
        <v>615674</v>
      </c>
    </row>
    <row r="1355" spans="1:5">
      <c r="A1355" s="93" t="s">
        <v>171</v>
      </c>
      <c r="B1355" s="285">
        <f t="shared" ref="B1355:D1355" si="86">B1351-B1354</f>
        <v>1999184</v>
      </c>
      <c r="C1355" s="285">
        <f t="shared" si="86"/>
        <v>19162</v>
      </c>
      <c r="D1355" s="285">
        <f t="shared" si="86"/>
        <v>5143</v>
      </c>
      <c r="E1355" s="285">
        <f t="shared" si="84"/>
        <v>2023489</v>
      </c>
    </row>
    <row r="1356" spans="1:5">
      <c r="A1356" s="93"/>
      <c r="B1356" s="288"/>
      <c r="C1356" s="288"/>
      <c r="D1356" s="288"/>
      <c r="E1356" s="288">
        <f t="shared" si="84"/>
        <v>0</v>
      </c>
    </row>
    <row r="1357" spans="1:5" ht="15">
      <c r="A1357" s="130" t="s">
        <v>186</v>
      </c>
      <c r="B1357" s="319">
        <f t="shared" ref="B1357:D1357" si="87">B1358</f>
        <v>244870</v>
      </c>
      <c r="C1357" s="319">
        <f t="shared" si="87"/>
        <v>10000</v>
      </c>
      <c r="D1357" s="319">
        <f t="shared" si="87"/>
        <v>1700</v>
      </c>
      <c r="E1357" s="319">
        <f t="shared" si="84"/>
        <v>256570</v>
      </c>
    </row>
    <row r="1358" spans="1:5">
      <c r="A1358" s="298" t="s">
        <v>480</v>
      </c>
      <c r="B1358" s="147">
        <f>235247+9354+269</f>
        <v>244870</v>
      </c>
      <c r="C1358" s="147">
        <v>10000</v>
      </c>
      <c r="D1358" s="147">
        <v>1700</v>
      </c>
      <c r="E1358" s="147">
        <f t="shared" si="84"/>
        <v>256570</v>
      </c>
    </row>
    <row r="1359" spans="1:5">
      <c r="A1359" s="81" t="s">
        <v>173</v>
      </c>
      <c r="B1359" s="289">
        <f>122908+6991+201</f>
        <v>130100</v>
      </c>
      <c r="C1359" s="289"/>
      <c r="D1359" s="289"/>
      <c r="E1359" s="289">
        <f t="shared" si="84"/>
        <v>130100</v>
      </c>
    </row>
    <row r="1360" spans="1:5">
      <c r="A1360" s="123"/>
      <c r="B1360" s="289"/>
      <c r="C1360" s="289"/>
      <c r="D1360" s="289"/>
      <c r="E1360" s="289">
        <f t="shared" si="84"/>
        <v>0</v>
      </c>
    </row>
    <row r="1361" spans="1:5" ht="15">
      <c r="A1361" s="130" t="s">
        <v>195</v>
      </c>
      <c r="B1361" s="319">
        <f t="shared" ref="B1361:D1361" si="88">B1362</f>
        <v>133857</v>
      </c>
      <c r="C1361" s="319">
        <f t="shared" si="88"/>
        <v>0</v>
      </c>
      <c r="D1361" s="319">
        <f t="shared" si="88"/>
        <v>0</v>
      </c>
      <c r="E1361" s="319">
        <f t="shared" si="84"/>
        <v>133857</v>
      </c>
    </row>
    <row r="1362" spans="1:5">
      <c r="A1362" s="298" t="s">
        <v>196</v>
      </c>
      <c r="B1362" s="147">
        <f t="shared" ref="B1362:D1362" si="89">B1364</f>
        <v>133857</v>
      </c>
      <c r="C1362" s="147">
        <f t="shared" si="89"/>
        <v>0</v>
      </c>
      <c r="D1362" s="147">
        <f t="shared" si="89"/>
        <v>0</v>
      </c>
      <c r="E1362" s="147">
        <f t="shared" si="84"/>
        <v>133857</v>
      </c>
    </row>
    <row r="1363" spans="1:5">
      <c r="A1363" s="133" t="s">
        <v>179</v>
      </c>
      <c r="B1363" s="289"/>
      <c r="C1363" s="289"/>
      <c r="D1363" s="289"/>
      <c r="E1363" s="289">
        <f t="shared" si="84"/>
        <v>0</v>
      </c>
    </row>
    <row r="1364" spans="1:5">
      <c r="A1364" s="134" t="s">
        <v>523</v>
      </c>
      <c r="B1364" s="148">
        <v>133857</v>
      </c>
      <c r="C1364" s="148"/>
      <c r="D1364" s="148"/>
      <c r="E1364" s="148">
        <f t="shared" si="84"/>
        <v>133857</v>
      </c>
    </row>
    <row r="1365" spans="1:5">
      <c r="A1365" s="84" t="s">
        <v>173</v>
      </c>
      <c r="B1365" s="289">
        <v>71052</v>
      </c>
      <c r="C1365" s="289"/>
      <c r="D1365" s="289"/>
      <c r="E1365" s="289">
        <f t="shared" si="84"/>
        <v>71052</v>
      </c>
    </row>
    <row r="1366" spans="1:5">
      <c r="A1366" s="140"/>
      <c r="B1366" s="289"/>
      <c r="C1366" s="289"/>
      <c r="D1366" s="289"/>
      <c r="E1366" s="289">
        <f t="shared" si="84"/>
        <v>0</v>
      </c>
    </row>
    <row r="1367" spans="1:5" ht="15">
      <c r="A1367" s="130" t="s">
        <v>201</v>
      </c>
      <c r="B1367" s="319">
        <f>B1369+B1374+B1379</f>
        <v>667032</v>
      </c>
      <c r="C1367" s="319">
        <f>C1369+C1374+C1379</f>
        <v>18472</v>
      </c>
      <c r="D1367" s="319">
        <f>D1369+D1374+D1379</f>
        <v>9900</v>
      </c>
      <c r="E1367" s="319">
        <f t="shared" si="84"/>
        <v>695404</v>
      </c>
    </row>
    <row r="1368" spans="1:5">
      <c r="A1368" s="78"/>
      <c r="B1368" s="289"/>
      <c r="C1368" s="289"/>
      <c r="D1368" s="289"/>
      <c r="E1368" s="289">
        <f t="shared" si="84"/>
        <v>0</v>
      </c>
    </row>
    <row r="1369" spans="1:5">
      <c r="A1369" s="119" t="s">
        <v>204</v>
      </c>
      <c r="B1369" s="284">
        <f t="shared" ref="B1369:D1369" si="90">B1371</f>
        <v>157622</v>
      </c>
      <c r="C1369" s="284">
        <f t="shared" si="90"/>
        <v>2594</v>
      </c>
      <c r="D1369" s="284">
        <f t="shared" si="90"/>
        <v>0</v>
      </c>
      <c r="E1369" s="284">
        <f t="shared" si="84"/>
        <v>160216</v>
      </c>
    </row>
    <row r="1370" spans="1:5">
      <c r="A1370" s="133" t="s">
        <v>179</v>
      </c>
      <c r="B1370" s="288"/>
      <c r="C1370" s="288"/>
      <c r="D1370" s="288"/>
      <c r="E1370" s="288">
        <f t="shared" si="84"/>
        <v>0</v>
      </c>
    </row>
    <row r="1371" spans="1:5">
      <c r="A1371" s="134" t="s">
        <v>481</v>
      </c>
      <c r="B1371" s="288">
        <v>157622</v>
      </c>
      <c r="C1371" s="288">
        <v>2594</v>
      </c>
      <c r="D1371" s="288"/>
      <c r="E1371" s="288">
        <f t="shared" si="84"/>
        <v>160216</v>
      </c>
    </row>
    <row r="1372" spans="1:5">
      <c r="A1372" s="84" t="s">
        <v>173</v>
      </c>
      <c r="B1372" s="289">
        <v>53636</v>
      </c>
      <c r="C1372" s="289">
        <v>1938</v>
      </c>
      <c r="D1372" s="289"/>
      <c r="E1372" s="289">
        <f t="shared" si="84"/>
        <v>55574</v>
      </c>
    </row>
    <row r="1373" spans="1:5">
      <c r="A1373" s="115"/>
      <c r="B1373" s="288"/>
      <c r="C1373" s="288"/>
      <c r="D1373" s="288"/>
      <c r="E1373" s="288">
        <f t="shared" si="84"/>
        <v>0</v>
      </c>
    </row>
    <row r="1374" spans="1:5">
      <c r="A1374" s="119" t="s">
        <v>205</v>
      </c>
      <c r="B1374" s="284">
        <f t="shared" ref="B1374:D1374" si="91">B1376</f>
        <v>104965</v>
      </c>
      <c r="C1374" s="284">
        <f t="shared" si="91"/>
        <v>2609</v>
      </c>
      <c r="D1374" s="284">
        <f t="shared" si="91"/>
        <v>0</v>
      </c>
      <c r="E1374" s="284">
        <f t="shared" si="84"/>
        <v>107574</v>
      </c>
    </row>
    <row r="1375" spans="1:5">
      <c r="A1375" s="133" t="s">
        <v>179</v>
      </c>
      <c r="B1375" s="288"/>
      <c r="C1375" s="288"/>
      <c r="D1375" s="288"/>
      <c r="E1375" s="288">
        <f t="shared" si="84"/>
        <v>0</v>
      </c>
    </row>
    <row r="1376" spans="1:5">
      <c r="A1376" s="134" t="s">
        <v>551</v>
      </c>
      <c r="B1376" s="288">
        <v>104965</v>
      </c>
      <c r="C1376" s="288">
        <v>2609</v>
      </c>
      <c r="D1376" s="288"/>
      <c r="E1376" s="288">
        <f t="shared" si="84"/>
        <v>107574</v>
      </c>
    </row>
    <row r="1377" spans="1:6">
      <c r="A1377" s="84" t="s">
        <v>173</v>
      </c>
      <c r="B1377" s="289">
        <v>67892</v>
      </c>
      <c r="C1377" s="289">
        <v>1950</v>
      </c>
      <c r="D1377" s="289"/>
      <c r="E1377" s="289">
        <f t="shared" si="84"/>
        <v>69842</v>
      </c>
    </row>
    <row r="1378" spans="1:6">
      <c r="A1378" s="115"/>
      <c r="B1378" s="288"/>
      <c r="C1378" s="288"/>
      <c r="D1378" s="288"/>
      <c r="E1378" s="288">
        <f t="shared" si="84"/>
        <v>0</v>
      </c>
    </row>
    <row r="1379" spans="1:6" ht="25.5">
      <c r="A1379" s="132" t="s">
        <v>259</v>
      </c>
      <c r="B1379" s="284">
        <f>B1381+B1385+B1389</f>
        <v>404445</v>
      </c>
      <c r="C1379" s="284">
        <f>C1381+C1385+C1389</f>
        <v>13269</v>
      </c>
      <c r="D1379" s="284">
        <f>D1381+D1385+D1389</f>
        <v>9900</v>
      </c>
      <c r="E1379" s="284">
        <f t="shared" si="84"/>
        <v>427614</v>
      </c>
    </row>
    <row r="1380" spans="1:6">
      <c r="A1380" s="133" t="s">
        <v>179</v>
      </c>
      <c r="B1380" s="288"/>
      <c r="C1380" s="288"/>
      <c r="D1380" s="288"/>
      <c r="E1380" s="288">
        <f t="shared" si="84"/>
        <v>0</v>
      </c>
    </row>
    <row r="1381" spans="1:6">
      <c r="A1381" s="134" t="s">
        <v>533</v>
      </c>
      <c r="B1381" s="288">
        <v>107388</v>
      </c>
      <c r="C1381" s="288">
        <v>5195</v>
      </c>
      <c r="D1381" s="288">
        <v>2400</v>
      </c>
      <c r="E1381" s="288">
        <f t="shared" si="84"/>
        <v>114983</v>
      </c>
    </row>
    <row r="1382" spans="1:6">
      <c r="A1382" s="84" t="s">
        <v>173</v>
      </c>
      <c r="B1382" s="289">
        <v>43137</v>
      </c>
      <c r="C1382" s="289">
        <v>2093</v>
      </c>
      <c r="D1382" s="289"/>
      <c r="E1382" s="289">
        <f t="shared" si="84"/>
        <v>45230</v>
      </c>
    </row>
    <row r="1383" spans="1:6">
      <c r="A1383" s="115"/>
      <c r="B1383" s="288"/>
      <c r="C1383" s="288"/>
      <c r="D1383" s="288"/>
      <c r="E1383" s="288">
        <f t="shared" si="84"/>
        <v>0</v>
      </c>
    </row>
    <row r="1384" spans="1:6">
      <c r="A1384" s="133" t="s">
        <v>179</v>
      </c>
      <c r="B1384" s="288"/>
      <c r="C1384" s="288"/>
      <c r="D1384" s="288"/>
      <c r="E1384" s="288">
        <f t="shared" si="84"/>
        <v>0</v>
      </c>
    </row>
    <row r="1385" spans="1:6">
      <c r="A1385" s="134" t="s">
        <v>534</v>
      </c>
      <c r="B1385" s="288">
        <v>127960</v>
      </c>
      <c r="C1385" s="288">
        <v>3774</v>
      </c>
      <c r="D1385" s="288">
        <v>2000</v>
      </c>
      <c r="E1385" s="288">
        <f t="shared" si="84"/>
        <v>133734</v>
      </c>
    </row>
    <row r="1386" spans="1:6">
      <c r="A1386" s="84" t="s">
        <v>173</v>
      </c>
      <c r="B1386" s="289">
        <v>94032</v>
      </c>
      <c r="C1386" s="289">
        <v>2821</v>
      </c>
      <c r="D1386" s="289"/>
      <c r="E1386" s="289">
        <f t="shared" si="84"/>
        <v>96853</v>
      </c>
    </row>
    <row r="1387" spans="1:6">
      <c r="A1387" s="122"/>
      <c r="B1387" s="315"/>
      <c r="C1387" s="315"/>
      <c r="D1387" s="315"/>
      <c r="E1387" s="315">
        <f t="shared" si="84"/>
        <v>0</v>
      </c>
    </row>
    <row r="1388" spans="1:6">
      <c r="A1388" s="133" t="s">
        <v>179</v>
      </c>
      <c r="B1388" s="288"/>
      <c r="C1388" s="288"/>
      <c r="D1388" s="288"/>
      <c r="E1388" s="288">
        <f t="shared" si="84"/>
        <v>0</v>
      </c>
    </row>
    <row r="1389" spans="1:6">
      <c r="A1389" s="134" t="s">
        <v>535</v>
      </c>
      <c r="B1389" s="288">
        <v>169097</v>
      </c>
      <c r="C1389" s="288">
        <v>4300</v>
      </c>
      <c r="D1389" s="288">
        <v>5500</v>
      </c>
      <c r="E1389" s="288">
        <f t="shared" si="84"/>
        <v>178897</v>
      </c>
    </row>
    <row r="1390" spans="1:6">
      <c r="A1390" s="84" t="s">
        <v>173</v>
      </c>
      <c r="B1390" s="289">
        <v>80851</v>
      </c>
      <c r="C1390" s="289">
        <v>3213</v>
      </c>
      <c r="D1390" s="289"/>
      <c r="E1390" s="289">
        <f t="shared" si="84"/>
        <v>84064</v>
      </c>
    </row>
    <row r="1391" spans="1:6">
      <c r="A1391" s="115"/>
      <c r="B1391" s="288"/>
      <c r="C1391" s="288"/>
      <c r="D1391" s="288"/>
      <c r="E1391" s="288">
        <f t="shared" si="84"/>
        <v>0</v>
      </c>
    </row>
    <row r="1392" spans="1:6" s="286" customFormat="1" ht="15">
      <c r="A1392" s="130" t="s">
        <v>254</v>
      </c>
      <c r="B1392" s="319">
        <f t="shared" ref="B1392:D1392" si="92">B1393</f>
        <v>102000</v>
      </c>
      <c r="C1392" s="319">
        <f t="shared" si="92"/>
        <v>12000</v>
      </c>
      <c r="D1392" s="319">
        <f t="shared" si="92"/>
        <v>0</v>
      </c>
      <c r="E1392" s="319">
        <f t="shared" si="84"/>
        <v>114000</v>
      </c>
      <c r="F1392" s="250"/>
    </row>
    <row r="1393" spans="1:5">
      <c r="A1393" s="298" t="s">
        <v>255</v>
      </c>
      <c r="B1393" s="147">
        <v>102000</v>
      </c>
      <c r="C1393" s="147">
        <v>12000</v>
      </c>
      <c r="D1393" s="147"/>
      <c r="E1393" s="147">
        <f t="shared" si="84"/>
        <v>114000</v>
      </c>
    </row>
    <row r="1394" spans="1:5">
      <c r="A1394" s="93"/>
      <c r="B1394" s="288"/>
      <c r="C1394" s="288"/>
      <c r="D1394" s="288"/>
      <c r="E1394" s="288">
        <f t="shared" si="84"/>
        <v>0</v>
      </c>
    </row>
    <row r="1395" spans="1:5">
      <c r="A1395" s="137" t="s">
        <v>172</v>
      </c>
      <c r="B1395" s="284">
        <f>B1397++B1400+B1404+B1406+B1408+B1413+B1410+B1402</f>
        <v>1426532</v>
      </c>
      <c r="C1395" s="284">
        <f>C1397++C1400+C1404+C1406+C1408+C1413+C1410+C1402</f>
        <v>7890</v>
      </c>
      <c r="D1395" s="284">
        <f>D1397++D1400+D1404+D1406+D1408+D1413+D1410+D1402</f>
        <v>4910</v>
      </c>
      <c r="E1395" s="284">
        <f t="shared" si="84"/>
        <v>1439332</v>
      </c>
    </row>
    <row r="1396" spans="1:5">
      <c r="A1396" s="137"/>
      <c r="B1396" s="284"/>
      <c r="C1396" s="284"/>
      <c r="D1396" s="284"/>
      <c r="E1396" s="284">
        <f t="shared" si="84"/>
        <v>0</v>
      </c>
    </row>
    <row r="1397" spans="1:5">
      <c r="A1397" s="82" t="s">
        <v>260</v>
      </c>
      <c r="B1397" s="288">
        <f>1152451+10533+2348</f>
        <v>1165332</v>
      </c>
      <c r="C1397" s="288">
        <v>-10910</v>
      </c>
      <c r="D1397" s="288">
        <v>-1090</v>
      </c>
      <c r="E1397" s="288">
        <f t="shared" si="84"/>
        <v>1153332</v>
      </c>
    </row>
    <row r="1398" spans="1:5">
      <c r="A1398" s="78" t="s">
        <v>173</v>
      </c>
      <c r="B1398" s="289">
        <f>683646+7872+1755</f>
        <v>693273</v>
      </c>
      <c r="C1398" s="289"/>
      <c r="D1398" s="289">
        <v>-815</v>
      </c>
      <c r="E1398" s="289">
        <f t="shared" si="84"/>
        <v>692458</v>
      </c>
    </row>
    <row r="1399" spans="1:5">
      <c r="A1399" s="142"/>
      <c r="B1399" s="288"/>
      <c r="C1399" s="288"/>
      <c r="D1399" s="288"/>
      <c r="E1399" s="288">
        <f t="shared" si="84"/>
        <v>0</v>
      </c>
    </row>
    <row r="1400" spans="1:5" ht="25.5">
      <c r="A1400" s="138" t="s">
        <v>656</v>
      </c>
      <c r="B1400" s="148">
        <v>20000</v>
      </c>
      <c r="C1400" s="148">
        <v>10000</v>
      </c>
      <c r="D1400" s="148">
        <v>4000</v>
      </c>
      <c r="E1400" s="148">
        <f t="shared" si="84"/>
        <v>34000</v>
      </c>
    </row>
    <row r="1401" spans="1:5">
      <c r="A1401" s="138"/>
      <c r="B1401" s="148"/>
      <c r="C1401" s="148"/>
      <c r="D1401" s="148"/>
      <c r="E1401" s="148">
        <f t="shared" si="84"/>
        <v>0</v>
      </c>
    </row>
    <row r="1402" spans="1:5">
      <c r="A1402" s="138" t="s">
        <v>28</v>
      </c>
      <c r="B1402" s="148">
        <v>20000</v>
      </c>
      <c r="C1402" s="148"/>
      <c r="D1402" s="148"/>
      <c r="E1402" s="148">
        <f t="shared" si="84"/>
        <v>20000</v>
      </c>
    </row>
    <row r="1403" spans="1:5">
      <c r="A1403" s="291"/>
      <c r="B1403" s="288"/>
      <c r="C1403" s="288"/>
      <c r="D1403" s="288"/>
      <c r="E1403" s="288">
        <f t="shared" si="84"/>
        <v>0</v>
      </c>
    </row>
    <row r="1404" spans="1:5">
      <c r="A1404" s="86" t="s">
        <v>261</v>
      </c>
      <c r="B1404" s="151">
        <v>60000</v>
      </c>
      <c r="C1404" s="151">
        <v>4000</v>
      </c>
      <c r="D1404" s="151"/>
      <c r="E1404" s="151">
        <f t="shared" si="84"/>
        <v>64000</v>
      </c>
    </row>
    <row r="1405" spans="1:5">
      <c r="A1405" s="86"/>
      <c r="B1405" s="151"/>
      <c r="C1405" s="151"/>
      <c r="D1405" s="151"/>
      <c r="E1405" s="151">
        <f t="shared" si="84"/>
        <v>0</v>
      </c>
    </row>
    <row r="1406" spans="1:5">
      <c r="A1406" s="77" t="s">
        <v>264</v>
      </c>
      <c r="B1406" s="148">
        <v>1100</v>
      </c>
      <c r="C1406" s="148"/>
      <c r="D1406" s="148"/>
      <c r="E1406" s="148">
        <f t="shared" si="84"/>
        <v>1100</v>
      </c>
    </row>
    <row r="1407" spans="1:5">
      <c r="A1407" s="294"/>
      <c r="B1407" s="149"/>
      <c r="C1407" s="149"/>
      <c r="D1407" s="149"/>
      <c r="E1407" s="149">
        <f t="shared" si="84"/>
        <v>0</v>
      </c>
    </row>
    <row r="1408" spans="1:5">
      <c r="A1408" s="77" t="s">
        <v>265</v>
      </c>
      <c r="B1408" s="148">
        <v>26500</v>
      </c>
      <c r="C1408" s="148"/>
      <c r="D1408" s="148"/>
      <c r="E1408" s="148">
        <f t="shared" si="84"/>
        <v>26500</v>
      </c>
    </row>
    <row r="1409" spans="1:5">
      <c r="A1409" s="77"/>
      <c r="B1409" s="148"/>
      <c r="C1409" s="148"/>
      <c r="D1409" s="148"/>
      <c r="E1409" s="148">
        <f t="shared" si="84"/>
        <v>0</v>
      </c>
    </row>
    <row r="1410" spans="1:5">
      <c r="A1410" s="86" t="s">
        <v>416</v>
      </c>
      <c r="B1410" s="288">
        <v>113600</v>
      </c>
      <c r="C1410" s="288">
        <v>4800</v>
      </c>
      <c r="D1410" s="288">
        <v>2000</v>
      </c>
      <c r="E1410" s="288">
        <f t="shared" si="84"/>
        <v>120400</v>
      </c>
    </row>
    <row r="1411" spans="1:5">
      <c r="A1411" s="83" t="s">
        <v>173</v>
      </c>
      <c r="B1411" s="289">
        <v>47416</v>
      </c>
      <c r="C1411" s="289">
        <v>3552</v>
      </c>
      <c r="D1411" s="289"/>
      <c r="E1411" s="289">
        <f t="shared" si="84"/>
        <v>50968</v>
      </c>
    </row>
    <row r="1412" spans="1:5">
      <c r="A1412" s="86"/>
      <c r="B1412" s="288"/>
      <c r="C1412" s="288"/>
      <c r="D1412" s="288"/>
      <c r="E1412" s="288">
        <f t="shared" si="84"/>
        <v>0</v>
      </c>
    </row>
    <row r="1413" spans="1:5">
      <c r="A1413" s="77" t="s">
        <v>22</v>
      </c>
      <c r="B1413" s="288">
        <v>20000</v>
      </c>
      <c r="C1413" s="288"/>
      <c r="D1413" s="288"/>
      <c r="E1413" s="288">
        <f t="shared" si="84"/>
        <v>20000</v>
      </c>
    </row>
    <row r="1414" spans="1:5">
      <c r="A1414" s="77"/>
      <c r="B1414" s="288"/>
      <c r="C1414" s="288"/>
      <c r="D1414" s="288"/>
      <c r="E1414" s="288">
        <f t="shared" si="84"/>
        <v>0</v>
      </c>
    </row>
    <row r="1415" spans="1:5">
      <c r="A1415" s="77"/>
      <c r="B1415" s="288"/>
      <c r="C1415" s="288"/>
      <c r="D1415" s="288"/>
      <c r="E1415" s="288">
        <f t="shared" ref="E1415:E1478" si="93">SUM(B1415:D1415)</f>
        <v>0</v>
      </c>
    </row>
    <row r="1416" spans="1:5" ht="15.75">
      <c r="A1416" s="95" t="s">
        <v>26</v>
      </c>
      <c r="B1416" s="288"/>
      <c r="C1416" s="288"/>
      <c r="D1416" s="288"/>
      <c r="E1416" s="288">
        <f t="shared" si="93"/>
        <v>0</v>
      </c>
    </row>
    <row r="1417" spans="1:5">
      <c r="A1417" s="293"/>
      <c r="B1417" s="288"/>
      <c r="C1417" s="288"/>
      <c r="D1417" s="288"/>
      <c r="E1417" s="288">
        <f t="shared" si="93"/>
        <v>0</v>
      </c>
    </row>
    <row r="1418" spans="1:5">
      <c r="A1418" s="90" t="s">
        <v>168</v>
      </c>
      <c r="B1418" s="284">
        <f>B1424+B1434+B1444+B1447+B1428</f>
        <v>1559479</v>
      </c>
      <c r="C1418" s="284">
        <f>C1424+C1434+C1444+C1447+C1428</f>
        <v>49534</v>
      </c>
      <c r="D1418" s="284">
        <f>D1424+D1434+D1444+D1447+D1428</f>
        <v>4085</v>
      </c>
      <c r="E1418" s="284">
        <f t="shared" si="93"/>
        <v>1613098</v>
      </c>
    </row>
    <row r="1419" spans="1:5">
      <c r="A1419" s="67" t="s">
        <v>185</v>
      </c>
      <c r="B1419" s="285">
        <v>191000</v>
      </c>
      <c r="C1419" s="285"/>
      <c r="D1419" s="285"/>
      <c r="E1419" s="285">
        <f t="shared" si="93"/>
        <v>191000</v>
      </c>
    </row>
    <row r="1420" spans="1:5">
      <c r="A1420" s="91" t="s">
        <v>169</v>
      </c>
      <c r="B1420" s="284">
        <f t="shared" ref="B1420:D1420" si="94">B1421+B1422</f>
        <v>1559479</v>
      </c>
      <c r="C1420" s="284">
        <f t="shared" si="94"/>
        <v>49534</v>
      </c>
      <c r="D1420" s="284">
        <f t="shared" si="94"/>
        <v>4085</v>
      </c>
      <c r="E1420" s="284">
        <f t="shared" si="93"/>
        <v>1613098</v>
      </c>
    </row>
    <row r="1421" spans="1:5">
      <c r="A1421" s="92" t="s">
        <v>170</v>
      </c>
      <c r="B1421" s="285">
        <v>231900</v>
      </c>
      <c r="C1421" s="285">
        <v>26300</v>
      </c>
      <c r="D1421" s="285">
        <v>3640</v>
      </c>
      <c r="E1421" s="285">
        <f t="shared" si="93"/>
        <v>261840</v>
      </c>
    </row>
    <row r="1422" spans="1:5">
      <c r="A1422" s="93" t="s">
        <v>171</v>
      </c>
      <c r="B1422" s="285">
        <f t="shared" ref="B1422:D1422" si="95">B1418-B1421</f>
        <v>1327579</v>
      </c>
      <c r="C1422" s="285">
        <f t="shared" si="95"/>
        <v>23234</v>
      </c>
      <c r="D1422" s="285">
        <f t="shared" si="95"/>
        <v>445</v>
      </c>
      <c r="E1422" s="285">
        <f t="shared" si="93"/>
        <v>1351258</v>
      </c>
    </row>
    <row r="1423" spans="1:5">
      <c r="A1423" s="93"/>
      <c r="B1423" s="288"/>
      <c r="C1423" s="288"/>
      <c r="D1423" s="288"/>
      <c r="E1423" s="288">
        <f t="shared" si="93"/>
        <v>0</v>
      </c>
    </row>
    <row r="1424" spans="1:5" ht="15">
      <c r="A1424" s="130" t="s">
        <v>186</v>
      </c>
      <c r="B1424" s="319">
        <f t="shared" ref="B1424:D1424" si="96">B1425</f>
        <v>210567</v>
      </c>
      <c r="C1424" s="319">
        <f t="shared" si="96"/>
        <v>0</v>
      </c>
      <c r="D1424" s="319">
        <f t="shared" si="96"/>
        <v>-3280</v>
      </c>
      <c r="E1424" s="319">
        <f t="shared" si="93"/>
        <v>207287</v>
      </c>
    </row>
    <row r="1425" spans="1:5">
      <c r="A1425" s="298" t="s">
        <v>482</v>
      </c>
      <c r="B1425" s="147">
        <f>203375+6467+725</f>
        <v>210567</v>
      </c>
      <c r="C1425" s="147"/>
      <c r="D1425" s="147">
        <v>-3280</v>
      </c>
      <c r="E1425" s="147">
        <f t="shared" si="93"/>
        <v>207287</v>
      </c>
    </row>
    <row r="1426" spans="1:5">
      <c r="A1426" s="81" t="s">
        <v>173</v>
      </c>
      <c r="B1426" s="289">
        <f>98049+4834+541</f>
        <v>103424</v>
      </c>
      <c r="C1426" s="289"/>
      <c r="D1426" s="289"/>
      <c r="E1426" s="289">
        <f t="shared" si="93"/>
        <v>103424</v>
      </c>
    </row>
    <row r="1427" spans="1:5">
      <c r="A1427" s="123"/>
      <c r="B1427" s="289"/>
      <c r="C1427" s="289"/>
      <c r="D1427" s="289"/>
      <c r="E1427" s="289">
        <f t="shared" si="93"/>
        <v>0</v>
      </c>
    </row>
    <row r="1428" spans="1:5" ht="15">
      <c r="A1428" s="346" t="s">
        <v>195</v>
      </c>
      <c r="B1428" s="319">
        <f t="shared" ref="B1428:D1428" si="97">B1429</f>
        <v>106770</v>
      </c>
      <c r="C1428" s="319">
        <f t="shared" si="97"/>
        <v>0</v>
      </c>
      <c r="D1428" s="319">
        <f t="shared" si="97"/>
        <v>100</v>
      </c>
      <c r="E1428" s="319">
        <f t="shared" si="93"/>
        <v>106870</v>
      </c>
    </row>
    <row r="1429" spans="1:5">
      <c r="A1429" s="310" t="s">
        <v>196</v>
      </c>
      <c r="B1429" s="147">
        <f t="shared" ref="B1429:D1429" si="98">B1431</f>
        <v>106770</v>
      </c>
      <c r="C1429" s="147">
        <f t="shared" si="98"/>
        <v>0</v>
      </c>
      <c r="D1429" s="147">
        <f t="shared" si="98"/>
        <v>100</v>
      </c>
      <c r="E1429" s="147">
        <f t="shared" si="93"/>
        <v>106870</v>
      </c>
    </row>
    <row r="1430" spans="1:5">
      <c r="A1430" s="345" t="s">
        <v>179</v>
      </c>
      <c r="B1430" s="289"/>
      <c r="C1430" s="289"/>
      <c r="D1430" s="289"/>
      <c r="E1430" s="289">
        <f t="shared" si="93"/>
        <v>0</v>
      </c>
    </row>
    <row r="1431" spans="1:5">
      <c r="A1431" s="94" t="s">
        <v>483</v>
      </c>
      <c r="B1431" s="288">
        <v>106770</v>
      </c>
      <c r="C1431" s="288"/>
      <c r="D1431" s="288">
        <v>100</v>
      </c>
      <c r="E1431" s="288">
        <f t="shared" si="93"/>
        <v>106870</v>
      </c>
    </row>
    <row r="1432" spans="1:5">
      <c r="A1432" s="131" t="s">
        <v>173</v>
      </c>
      <c r="B1432" s="289">
        <v>56362</v>
      </c>
      <c r="C1432" s="289"/>
      <c r="D1432" s="289"/>
      <c r="E1432" s="289">
        <f t="shared" si="93"/>
        <v>56362</v>
      </c>
    </row>
    <row r="1433" spans="1:5">
      <c r="A1433" s="93"/>
      <c r="B1433" s="288"/>
      <c r="C1433" s="288"/>
      <c r="D1433" s="288"/>
      <c r="E1433" s="288">
        <f t="shared" si="93"/>
        <v>0</v>
      </c>
    </row>
    <row r="1434" spans="1:5" ht="15">
      <c r="A1434" s="130" t="s">
        <v>201</v>
      </c>
      <c r="B1434" s="319">
        <f t="shared" ref="B1434:D1434" si="99">B1435</f>
        <v>164031</v>
      </c>
      <c r="C1434" s="319">
        <f t="shared" si="99"/>
        <v>3234</v>
      </c>
      <c r="D1434" s="319">
        <f t="shared" si="99"/>
        <v>3300</v>
      </c>
      <c r="E1434" s="319">
        <f t="shared" si="93"/>
        <v>170565</v>
      </c>
    </row>
    <row r="1435" spans="1:5" ht="25.5">
      <c r="A1435" s="132" t="s">
        <v>259</v>
      </c>
      <c r="B1435" s="147">
        <f>B1437+B1441</f>
        <v>164031</v>
      </c>
      <c r="C1435" s="147">
        <f>C1437+C1441</f>
        <v>3234</v>
      </c>
      <c r="D1435" s="147">
        <f>D1437+D1441</f>
        <v>3300</v>
      </c>
      <c r="E1435" s="147">
        <f t="shared" si="93"/>
        <v>170565</v>
      </c>
    </row>
    <row r="1436" spans="1:5">
      <c r="A1436" s="133" t="s">
        <v>179</v>
      </c>
      <c r="B1436" s="288"/>
      <c r="C1436" s="288"/>
      <c r="D1436" s="288"/>
      <c r="E1436" s="288">
        <f t="shared" si="93"/>
        <v>0</v>
      </c>
    </row>
    <row r="1437" spans="1:5">
      <c r="A1437" s="134" t="s">
        <v>484</v>
      </c>
      <c r="B1437" s="288">
        <v>118754</v>
      </c>
      <c r="C1437" s="288">
        <v>2016</v>
      </c>
      <c r="D1437" s="288">
        <v>3300</v>
      </c>
      <c r="E1437" s="288">
        <f t="shared" si="93"/>
        <v>124070</v>
      </c>
    </row>
    <row r="1438" spans="1:5">
      <c r="A1438" s="84" t="s">
        <v>173</v>
      </c>
      <c r="B1438" s="289">
        <v>58220</v>
      </c>
      <c r="C1438" s="289">
        <v>1507</v>
      </c>
      <c r="D1438" s="289"/>
      <c r="E1438" s="289">
        <f t="shared" si="93"/>
        <v>59727</v>
      </c>
    </row>
    <row r="1439" spans="1:5">
      <c r="A1439" s="143"/>
      <c r="B1439" s="288"/>
      <c r="C1439" s="288"/>
      <c r="D1439" s="288"/>
      <c r="E1439" s="288">
        <f t="shared" si="93"/>
        <v>0</v>
      </c>
    </row>
    <row r="1440" spans="1:5">
      <c r="A1440" s="133" t="s">
        <v>179</v>
      </c>
      <c r="B1440" s="288"/>
      <c r="C1440" s="288"/>
      <c r="D1440" s="288"/>
      <c r="E1440" s="288">
        <f t="shared" si="93"/>
        <v>0</v>
      </c>
    </row>
    <row r="1441" spans="1:6" s="286" customFormat="1">
      <c r="A1441" s="134" t="s">
        <v>267</v>
      </c>
      <c r="B1441" s="288">
        <v>45277</v>
      </c>
      <c r="C1441" s="288">
        <v>1218</v>
      </c>
      <c r="D1441" s="288"/>
      <c r="E1441" s="288">
        <f t="shared" si="93"/>
        <v>46495</v>
      </c>
      <c r="F1441" s="250"/>
    </row>
    <row r="1442" spans="1:6">
      <c r="A1442" s="84" t="s">
        <v>173</v>
      </c>
      <c r="B1442" s="289">
        <v>31536</v>
      </c>
      <c r="C1442" s="289">
        <v>910</v>
      </c>
      <c r="D1442" s="289"/>
      <c r="E1442" s="289">
        <f t="shared" si="93"/>
        <v>32446</v>
      </c>
    </row>
    <row r="1443" spans="1:6">
      <c r="A1443" s="102"/>
      <c r="B1443" s="288"/>
      <c r="C1443" s="288"/>
      <c r="D1443" s="288"/>
      <c r="E1443" s="288">
        <f t="shared" si="93"/>
        <v>0</v>
      </c>
    </row>
    <row r="1444" spans="1:6" ht="15">
      <c r="A1444" s="130" t="s">
        <v>254</v>
      </c>
      <c r="B1444" s="319">
        <f t="shared" ref="B1444:D1444" si="100">B1445</f>
        <v>148716</v>
      </c>
      <c r="C1444" s="319">
        <f t="shared" si="100"/>
        <v>0</v>
      </c>
      <c r="D1444" s="319">
        <f t="shared" si="100"/>
        <v>0</v>
      </c>
      <c r="E1444" s="319">
        <f t="shared" si="93"/>
        <v>148716</v>
      </c>
    </row>
    <row r="1445" spans="1:6">
      <c r="A1445" s="298" t="s">
        <v>255</v>
      </c>
      <c r="B1445" s="147">
        <v>148716</v>
      </c>
      <c r="C1445" s="147"/>
      <c r="D1445" s="147"/>
      <c r="E1445" s="147">
        <f t="shared" si="93"/>
        <v>148716</v>
      </c>
    </row>
    <row r="1446" spans="1:6">
      <c r="A1446" s="294"/>
      <c r="B1446" s="149"/>
      <c r="C1446" s="149"/>
      <c r="D1446" s="149"/>
      <c r="E1446" s="149">
        <f t="shared" si="93"/>
        <v>0</v>
      </c>
    </row>
    <row r="1447" spans="1:6">
      <c r="A1447" s="137" t="s">
        <v>172</v>
      </c>
      <c r="B1447" s="284">
        <f>B1449+B1452+B1456+B1460+B1462+B1454+B1458</f>
        <v>929395</v>
      </c>
      <c r="C1447" s="284">
        <f>C1449+C1452+C1456+C1460+C1462+C1454+C1458</f>
        <v>46300</v>
      </c>
      <c r="D1447" s="284">
        <f>D1449+D1452+D1456+D1460+D1462+D1454+D1458</f>
        <v>3965</v>
      </c>
      <c r="E1447" s="284">
        <f t="shared" si="93"/>
        <v>979660</v>
      </c>
    </row>
    <row r="1448" spans="1:6">
      <c r="A1448" s="137"/>
      <c r="B1448" s="288"/>
      <c r="C1448" s="288"/>
      <c r="D1448" s="288"/>
      <c r="E1448" s="288">
        <f t="shared" si="93"/>
        <v>0</v>
      </c>
    </row>
    <row r="1449" spans="1:6">
      <c r="A1449" s="82" t="s">
        <v>260</v>
      </c>
      <c r="B1449" s="288">
        <f>737202+10533+348</f>
        <v>748083</v>
      </c>
      <c r="C1449" s="288">
        <v>10000</v>
      </c>
      <c r="D1449" s="288">
        <v>445</v>
      </c>
      <c r="E1449" s="288">
        <f t="shared" si="93"/>
        <v>758528</v>
      </c>
    </row>
    <row r="1450" spans="1:6">
      <c r="A1450" s="78" t="s">
        <v>173</v>
      </c>
      <c r="B1450" s="289">
        <f>443444+7872+260</f>
        <v>451576</v>
      </c>
      <c r="C1450" s="289"/>
      <c r="D1450" s="289">
        <v>-1416</v>
      </c>
      <c r="E1450" s="289">
        <f t="shared" si="93"/>
        <v>450160</v>
      </c>
    </row>
    <row r="1451" spans="1:6">
      <c r="A1451" s="116"/>
      <c r="B1451" s="288"/>
      <c r="C1451" s="288"/>
      <c r="D1451" s="288"/>
      <c r="E1451" s="288">
        <f t="shared" si="93"/>
        <v>0</v>
      </c>
    </row>
    <row r="1452" spans="1:6" ht="25.5">
      <c r="A1452" s="138" t="s">
        <v>656</v>
      </c>
      <c r="B1452" s="288">
        <v>23310</v>
      </c>
      <c r="C1452" s="288">
        <v>30000</v>
      </c>
      <c r="D1452" s="288">
        <v>9090</v>
      </c>
      <c r="E1452" s="288">
        <f t="shared" si="93"/>
        <v>62400</v>
      </c>
    </row>
    <row r="1453" spans="1:6">
      <c r="A1453" s="138"/>
      <c r="B1453" s="288"/>
      <c r="C1453" s="288"/>
      <c r="D1453" s="288"/>
      <c r="E1453" s="288">
        <f t="shared" si="93"/>
        <v>0</v>
      </c>
    </row>
    <row r="1454" spans="1:6">
      <c r="A1454" s="138" t="s">
        <v>28</v>
      </c>
      <c r="B1454" s="288">
        <v>9600</v>
      </c>
      <c r="C1454" s="288"/>
      <c r="D1454" s="288"/>
      <c r="E1454" s="288">
        <f t="shared" si="93"/>
        <v>9600</v>
      </c>
    </row>
    <row r="1455" spans="1:6">
      <c r="A1455" s="291"/>
      <c r="B1455" s="288"/>
      <c r="C1455" s="288"/>
      <c r="D1455" s="288"/>
      <c r="E1455" s="288">
        <f t="shared" si="93"/>
        <v>0</v>
      </c>
    </row>
    <row r="1456" spans="1:6">
      <c r="A1456" s="86" t="s">
        <v>261</v>
      </c>
      <c r="B1456" s="288">
        <v>35309</v>
      </c>
      <c r="C1456" s="288">
        <v>1300</v>
      </c>
      <c r="D1456" s="288">
        <v>5010</v>
      </c>
      <c r="E1456" s="288">
        <f t="shared" si="93"/>
        <v>41619</v>
      </c>
    </row>
    <row r="1457" spans="1:5">
      <c r="A1457" s="86"/>
      <c r="B1457" s="288"/>
      <c r="C1457" s="288"/>
      <c r="D1457" s="288"/>
      <c r="E1457" s="288">
        <f t="shared" si="93"/>
        <v>0</v>
      </c>
    </row>
    <row r="1458" spans="1:5">
      <c r="A1458" s="138" t="s">
        <v>415</v>
      </c>
      <c r="B1458" s="288">
        <v>76000</v>
      </c>
      <c r="C1458" s="288">
        <v>5000</v>
      </c>
      <c r="D1458" s="288"/>
      <c r="E1458" s="288">
        <f t="shared" si="93"/>
        <v>81000</v>
      </c>
    </row>
    <row r="1459" spans="1:5">
      <c r="A1459" s="294"/>
      <c r="B1459" s="288"/>
      <c r="C1459" s="288"/>
      <c r="D1459" s="288"/>
      <c r="E1459" s="288">
        <f t="shared" si="93"/>
        <v>0</v>
      </c>
    </row>
    <row r="1460" spans="1:5">
      <c r="A1460" s="77" t="s">
        <v>265</v>
      </c>
      <c r="B1460" s="288">
        <v>24573</v>
      </c>
      <c r="C1460" s="288"/>
      <c r="D1460" s="288"/>
      <c r="E1460" s="288">
        <f t="shared" si="93"/>
        <v>24573</v>
      </c>
    </row>
    <row r="1461" spans="1:5">
      <c r="A1461" s="122"/>
      <c r="B1461" s="288"/>
      <c r="C1461" s="288"/>
      <c r="D1461" s="288"/>
      <c r="E1461" s="288">
        <f t="shared" si="93"/>
        <v>0</v>
      </c>
    </row>
    <row r="1462" spans="1:5">
      <c r="A1462" s="77" t="s">
        <v>22</v>
      </c>
      <c r="B1462" s="288">
        <v>12520</v>
      </c>
      <c r="C1462" s="288"/>
      <c r="D1462" s="288">
        <v>-10580</v>
      </c>
      <c r="E1462" s="288">
        <f t="shared" si="93"/>
        <v>1940</v>
      </c>
    </row>
    <row r="1463" spans="1:5">
      <c r="A1463" s="293"/>
      <c r="B1463" s="288"/>
      <c r="C1463" s="288"/>
      <c r="D1463" s="288"/>
      <c r="E1463" s="288">
        <f t="shared" si="93"/>
        <v>0</v>
      </c>
    </row>
    <row r="1464" spans="1:5">
      <c r="A1464" s="293"/>
      <c r="B1464" s="288"/>
      <c r="C1464" s="288"/>
      <c r="D1464" s="288"/>
      <c r="E1464" s="288">
        <f t="shared" si="93"/>
        <v>0</v>
      </c>
    </row>
    <row r="1465" spans="1:5" ht="15.75">
      <c r="A1465" s="95" t="s">
        <v>27</v>
      </c>
      <c r="B1465" s="288"/>
      <c r="C1465" s="288"/>
      <c r="D1465" s="288"/>
      <c r="E1465" s="288">
        <f t="shared" si="93"/>
        <v>0</v>
      </c>
    </row>
    <row r="1466" spans="1:5">
      <c r="A1466" s="293"/>
      <c r="B1466" s="288"/>
      <c r="C1466" s="288"/>
      <c r="D1466" s="288"/>
      <c r="E1466" s="288">
        <f t="shared" si="93"/>
        <v>0</v>
      </c>
    </row>
    <row r="1467" spans="1:5">
      <c r="A1467" s="90" t="s">
        <v>168</v>
      </c>
      <c r="B1467" s="284">
        <f>B1473+B1484+B1494+B1497+B1477</f>
        <v>4250399</v>
      </c>
      <c r="C1467" s="284">
        <f>C1473+C1484+C1494+C1497+C1477</f>
        <v>-34209</v>
      </c>
      <c r="D1467" s="284">
        <f>D1473+D1484+D1494+D1497+D1477</f>
        <v>-31257</v>
      </c>
      <c r="E1467" s="284">
        <f t="shared" si="93"/>
        <v>4184933</v>
      </c>
    </row>
    <row r="1468" spans="1:5">
      <c r="A1468" s="67" t="s">
        <v>185</v>
      </c>
      <c r="B1468" s="285">
        <v>808400</v>
      </c>
      <c r="C1468" s="285"/>
      <c r="D1468" s="285"/>
      <c r="E1468" s="285">
        <f t="shared" si="93"/>
        <v>808400</v>
      </c>
    </row>
    <row r="1469" spans="1:5">
      <c r="A1469" s="91" t="s">
        <v>169</v>
      </c>
      <c r="B1469" s="284">
        <f t="shared" ref="B1469:D1469" si="101">B1470+B1471</f>
        <v>4250399</v>
      </c>
      <c r="C1469" s="284">
        <f t="shared" si="101"/>
        <v>-34209</v>
      </c>
      <c r="D1469" s="284">
        <f t="shared" si="101"/>
        <v>-31257</v>
      </c>
      <c r="E1469" s="284">
        <f t="shared" si="93"/>
        <v>4184933</v>
      </c>
    </row>
    <row r="1470" spans="1:5">
      <c r="A1470" s="92" t="s">
        <v>170</v>
      </c>
      <c r="B1470" s="285">
        <v>1457615</v>
      </c>
      <c r="C1470" s="285">
        <v>-178270</v>
      </c>
      <c r="D1470" s="285">
        <v>-24845</v>
      </c>
      <c r="E1470" s="285">
        <f t="shared" si="93"/>
        <v>1254500</v>
      </c>
    </row>
    <row r="1471" spans="1:5">
      <c r="A1471" s="93" t="s">
        <v>171</v>
      </c>
      <c r="B1471" s="285">
        <f t="shared" ref="B1471:D1471" si="102">B1467-B1470</f>
        <v>2792784</v>
      </c>
      <c r="C1471" s="285">
        <f t="shared" si="102"/>
        <v>144061</v>
      </c>
      <c r="D1471" s="285">
        <f t="shared" si="102"/>
        <v>-6412</v>
      </c>
      <c r="E1471" s="285">
        <f t="shared" si="93"/>
        <v>2930433</v>
      </c>
    </row>
    <row r="1472" spans="1:5">
      <c r="A1472" s="93"/>
      <c r="B1472" s="285"/>
      <c r="C1472" s="285"/>
      <c r="D1472" s="285"/>
      <c r="E1472" s="285">
        <f t="shared" si="93"/>
        <v>0</v>
      </c>
    </row>
    <row r="1473" spans="1:5" ht="15">
      <c r="A1473" s="130" t="s">
        <v>186</v>
      </c>
      <c r="B1473" s="319">
        <f t="shared" ref="B1473:D1473" si="103">B1474</f>
        <v>701283</v>
      </c>
      <c r="C1473" s="319">
        <f t="shared" si="103"/>
        <v>28024</v>
      </c>
      <c r="D1473" s="319">
        <f t="shared" si="103"/>
        <v>0</v>
      </c>
      <c r="E1473" s="319">
        <f t="shared" si="93"/>
        <v>729307</v>
      </c>
    </row>
    <row r="1474" spans="1:5">
      <c r="A1474" s="298" t="s">
        <v>485</v>
      </c>
      <c r="B1474" s="147">
        <f>537295+12887+1101+150000</f>
        <v>701283</v>
      </c>
      <c r="C1474" s="147">
        <v>28024</v>
      </c>
      <c r="D1474" s="147"/>
      <c r="E1474" s="147">
        <f t="shared" si="93"/>
        <v>729307</v>
      </c>
    </row>
    <row r="1475" spans="1:5">
      <c r="A1475" s="81" t="s">
        <v>173</v>
      </c>
      <c r="B1475" s="296">
        <f>290642+9631+824+61470</f>
        <v>362567</v>
      </c>
      <c r="C1475" s="296"/>
      <c r="D1475" s="296"/>
      <c r="E1475" s="296">
        <f t="shared" si="93"/>
        <v>362567</v>
      </c>
    </row>
    <row r="1476" spans="1:5">
      <c r="A1476" s="123"/>
      <c r="B1476" s="289"/>
      <c r="C1476" s="289"/>
      <c r="D1476" s="289"/>
      <c r="E1476" s="289">
        <f t="shared" si="93"/>
        <v>0</v>
      </c>
    </row>
    <row r="1477" spans="1:5" ht="15">
      <c r="A1477" s="130" t="s">
        <v>195</v>
      </c>
      <c r="B1477" s="319">
        <f t="shared" ref="B1477:D1477" si="104">B1478</f>
        <v>98877</v>
      </c>
      <c r="C1477" s="319">
        <f t="shared" si="104"/>
        <v>420</v>
      </c>
      <c r="D1477" s="319">
        <f t="shared" si="104"/>
        <v>2085</v>
      </c>
      <c r="E1477" s="319">
        <f t="shared" si="93"/>
        <v>101382</v>
      </c>
    </row>
    <row r="1478" spans="1:5">
      <c r="A1478" s="298" t="s">
        <v>196</v>
      </c>
      <c r="B1478" s="147">
        <f t="shared" ref="B1478:D1478" si="105">B1481</f>
        <v>98877</v>
      </c>
      <c r="C1478" s="147">
        <f t="shared" si="105"/>
        <v>420</v>
      </c>
      <c r="D1478" s="147">
        <f t="shared" si="105"/>
        <v>2085</v>
      </c>
      <c r="E1478" s="147">
        <f t="shared" si="93"/>
        <v>101382</v>
      </c>
    </row>
    <row r="1479" spans="1:5">
      <c r="A1479" s="219"/>
      <c r="B1479" s="289"/>
      <c r="C1479" s="289"/>
      <c r="D1479" s="289"/>
      <c r="E1479" s="289">
        <f t="shared" ref="E1479:E1530" si="106">SUM(B1479:D1479)</f>
        <v>0</v>
      </c>
    </row>
    <row r="1480" spans="1:5">
      <c r="A1480" s="133" t="s">
        <v>179</v>
      </c>
      <c r="B1480" s="289"/>
      <c r="C1480" s="289"/>
      <c r="D1480" s="289"/>
      <c r="E1480" s="289">
        <f t="shared" si="106"/>
        <v>0</v>
      </c>
    </row>
    <row r="1481" spans="1:5">
      <c r="A1481" s="134" t="s">
        <v>524</v>
      </c>
      <c r="B1481" s="288">
        <v>98877</v>
      </c>
      <c r="C1481" s="288">
        <v>420</v>
      </c>
      <c r="D1481" s="288">
        <v>2085</v>
      </c>
      <c r="E1481" s="288">
        <f t="shared" si="106"/>
        <v>101382</v>
      </c>
    </row>
    <row r="1482" spans="1:5">
      <c r="A1482" s="84" t="s">
        <v>173</v>
      </c>
      <c r="B1482" s="289">
        <v>52856</v>
      </c>
      <c r="C1482" s="289"/>
      <c r="D1482" s="289"/>
      <c r="E1482" s="289">
        <f t="shared" si="106"/>
        <v>52856</v>
      </c>
    </row>
    <row r="1483" spans="1:5">
      <c r="A1483" s="93"/>
      <c r="B1483" s="308"/>
      <c r="C1483" s="308"/>
      <c r="D1483" s="308"/>
      <c r="E1483" s="308">
        <f t="shared" si="106"/>
        <v>0</v>
      </c>
    </row>
    <row r="1484" spans="1:5" ht="15">
      <c r="A1484" s="130" t="s">
        <v>201</v>
      </c>
      <c r="B1484" s="319">
        <f t="shared" ref="B1484:D1484" si="107">B1485</f>
        <v>643366</v>
      </c>
      <c r="C1484" s="319">
        <f t="shared" si="107"/>
        <v>15600</v>
      </c>
      <c r="D1484" s="319">
        <f t="shared" si="107"/>
        <v>4170</v>
      </c>
      <c r="E1484" s="319">
        <f t="shared" si="106"/>
        <v>663136</v>
      </c>
    </row>
    <row r="1485" spans="1:5" ht="25.5">
      <c r="A1485" s="132" t="s">
        <v>259</v>
      </c>
      <c r="B1485" s="147">
        <f>B1487+B1491</f>
        <v>643366</v>
      </c>
      <c r="C1485" s="147">
        <f>C1487+C1491</f>
        <v>15600</v>
      </c>
      <c r="D1485" s="147">
        <f>D1487+D1491</f>
        <v>4170</v>
      </c>
      <c r="E1485" s="147">
        <f t="shared" si="106"/>
        <v>663136</v>
      </c>
    </row>
    <row r="1486" spans="1:5">
      <c r="A1486" s="133" t="s">
        <v>179</v>
      </c>
      <c r="B1486" s="288"/>
      <c r="C1486" s="288"/>
      <c r="D1486" s="288"/>
      <c r="E1486" s="288">
        <f t="shared" si="106"/>
        <v>0</v>
      </c>
    </row>
    <row r="1487" spans="1:5">
      <c r="A1487" s="134" t="s">
        <v>501</v>
      </c>
      <c r="B1487" s="288">
        <v>231369</v>
      </c>
      <c r="C1487" s="288">
        <v>4307</v>
      </c>
      <c r="D1487" s="288"/>
      <c r="E1487" s="288">
        <f t="shared" si="106"/>
        <v>235676</v>
      </c>
    </row>
    <row r="1488" spans="1:5">
      <c r="A1488" s="84" t="s">
        <v>173</v>
      </c>
      <c r="B1488" s="289">
        <v>119242</v>
      </c>
      <c r="C1488" s="289">
        <v>3219</v>
      </c>
      <c r="D1488" s="289"/>
      <c r="E1488" s="289">
        <f t="shared" si="106"/>
        <v>122461</v>
      </c>
    </row>
    <row r="1489" spans="1:5">
      <c r="A1489" s="134"/>
      <c r="B1489" s="288"/>
      <c r="C1489" s="288"/>
      <c r="D1489" s="288"/>
      <c r="E1489" s="288">
        <f t="shared" si="106"/>
        <v>0</v>
      </c>
    </row>
    <row r="1490" spans="1:5">
      <c r="A1490" s="133" t="s">
        <v>179</v>
      </c>
      <c r="B1490" s="288"/>
      <c r="C1490" s="288"/>
      <c r="D1490" s="288"/>
      <c r="E1490" s="288">
        <f t="shared" si="106"/>
        <v>0</v>
      </c>
    </row>
    <row r="1491" spans="1:5">
      <c r="A1491" s="221" t="s">
        <v>527</v>
      </c>
      <c r="B1491" s="288">
        <v>411997</v>
      </c>
      <c r="C1491" s="288">
        <v>11293</v>
      </c>
      <c r="D1491" s="288">
        <v>4170</v>
      </c>
      <c r="E1491" s="288">
        <f t="shared" si="106"/>
        <v>427460</v>
      </c>
    </row>
    <row r="1492" spans="1:5">
      <c r="A1492" s="131" t="s">
        <v>173</v>
      </c>
      <c r="B1492" s="289">
        <v>285190</v>
      </c>
      <c r="C1492" s="289">
        <v>8440</v>
      </c>
      <c r="D1492" s="289"/>
      <c r="E1492" s="289">
        <f t="shared" si="106"/>
        <v>293630</v>
      </c>
    </row>
    <row r="1493" spans="1:5">
      <c r="A1493" s="293"/>
      <c r="B1493" s="288"/>
      <c r="C1493" s="288"/>
      <c r="D1493" s="288"/>
      <c r="E1493" s="288">
        <f t="shared" si="106"/>
        <v>0</v>
      </c>
    </row>
    <row r="1494" spans="1:5" ht="15">
      <c r="A1494" s="130" t="s">
        <v>254</v>
      </c>
      <c r="B1494" s="319">
        <f t="shared" ref="B1494:D1494" si="108">B1495</f>
        <v>234100</v>
      </c>
      <c r="C1494" s="319">
        <f t="shared" si="108"/>
        <v>0</v>
      </c>
      <c r="D1494" s="319">
        <f t="shared" si="108"/>
        <v>10000</v>
      </c>
      <c r="E1494" s="319">
        <f t="shared" si="106"/>
        <v>244100</v>
      </c>
    </row>
    <row r="1495" spans="1:5">
      <c r="A1495" s="298" t="s">
        <v>255</v>
      </c>
      <c r="B1495" s="147">
        <v>234100</v>
      </c>
      <c r="C1495" s="147"/>
      <c r="D1495" s="147">
        <v>10000</v>
      </c>
      <c r="E1495" s="147">
        <f t="shared" si="106"/>
        <v>244100</v>
      </c>
    </row>
    <row r="1496" spans="1:5">
      <c r="A1496" s="294"/>
      <c r="B1496" s="616"/>
      <c r="C1496" s="347"/>
      <c r="D1496" s="347"/>
      <c r="E1496" s="616">
        <f t="shared" si="106"/>
        <v>0</v>
      </c>
    </row>
    <row r="1497" spans="1:5">
      <c r="A1497" s="137" t="s">
        <v>172</v>
      </c>
      <c r="B1497" s="284">
        <f>B1499+B1502+B1506+B1510+B1512+B1514+B1504+B1508</f>
        <v>2572773</v>
      </c>
      <c r="C1497" s="284">
        <f>C1499+C1502+C1506+C1510+C1512+C1514+C1504+C1508</f>
        <v>-78253</v>
      </c>
      <c r="D1497" s="284">
        <f>D1499+D1502+D1506+D1510+D1512+D1514+D1504+D1508</f>
        <v>-47512</v>
      </c>
      <c r="E1497" s="284">
        <f t="shared" si="106"/>
        <v>2447008</v>
      </c>
    </row>
    <row r="1498" spans="1:5">
      <c r="A1498" s="137"/>
      <c r="B1498" s="284"/>
      <c r="C1498" s="284"/>
      <c r="D1498" s="284"/>
      <c r="E1498" s="284">
        <f t="shared" si="106"/>
        <v>0</v>
      </c>
    </row>
    <row r="1499" spans="1:5">
      <c r="A1499" s="82" t="s">
        <v>260</v>
      </c>
      <c r="B1499" s="288">
        <f>1599551+9634+2348</f>
        <v>1611533</v>
      </c>
      <c r="C1499" s="288">
        <v>35437</v>
      </c>
      <c r="D1499" s="288">
        <v>-6412</v>
      </c>
      <c r="E1499" s="288">
        <f t="shared" si="106"/>
        <v>1640558</v>
      </c>
    </row>
    <row r="1500" spans="1:5">
      <c r="A1500" s="78" t="s">
        <v>173</v>
      </c>
      <c r="B1500" s="289">
        <f>1022262+7200+1755</f>
        <v>1031217</v>
      </c>
      <c r="C1500" s="289">
        <v>20880</v>
      </c>
      <c r="D1500" s="289">
        <v>-4792</v>
      </c>
      <c r="E1500" s="289">
        <f t="shared" si="106"/>
        <v>1047305</v>
      </c>
    </row>
    <row r="1501" spans="1:5">
      <c r="A1501" s="122"/>
      <c r="B1501" s="285"/>
      <c r="C1501" s="285"/>
      <c r="D1501" s="285"/>
      <c r="E1501" s="285">
        <f t="shared" si="106"/>
        <v>0</v>
      </c>
    </row>
    <row r="1502" spans="1:5" ht="25.5">
      <c r="A1502" s="138" t="s">
        <v>656</v>
      </c>
      <c r="B1502" s="288">
        <v>90000</v>
      </c>
      <c r="C1502" s="288"/>
      <c r="D1502" s="288">
        <v>-12000</v>
      </c>
      <c r="E1502" s="288">
        <f t="shared" si="106"/>
        <v>78000</v>
      </c>
    </row>
    <row r="1503" spans="1:5">
      <c r="A1503" s="138"/>
      <c r="B1503" s="288"/>
      <c r="C1503" s="288"/>
      <c r="D1503" s="288"/>
      <c r="E1503" s="288">
        <f t="shared" si="106"/>
        <v>0</v>
      </c>
    </row>
    <row r="1504" spans="1:5">
      <c r="A1504" s="138" t="s">
        <v>28</v>
      </c>
      <c r="B1504" s="288">
        <v>112240</v>
      </c>
      <c r="C1504" s="288"/>
      <c r="D1504" s="288"/>
      <c r="E1504" s="288">
        <f t="shared" si="106"/>
        <v>112240</v>
      </c>
    </row>
    <row r="1505" spans="1:5">
      <c r="A1505" s="145"/>
      <c r="B1505" s="288"/>
      <c r="C1505" s="288"/>
      <c r="D1505" s="288"/>
      <c r="E1505" s="288">
        <f t="shared" si="106"/>
        <v>0</v>
      </c>
    </row>
    <row r="1506" spans="1:5">
      <c r="A1506" s="86" t="s">
        <v>261</v>
      </c>
      <c r="B1506" s="288">
        <v>35000</v>
      </c>
      <c r="C1506" s="288"/>
      <c r="D1506" s="288"/>
      <c r="E1506" s="288">
        <f t="shared" si="106"/>
        <v>35000</v>
      </c>
    </row>
    <row r="1507" spans="1:5">
      <c r="A1507" s="86"/>
      <c r="B1507" s="288"/>
      <c r="C1507" s="288"/>
      <c r="D1507" s="288"/>
      <c r="E1507" s="288">
        <f t="shared" si="106"/>
        <v>0</v>
      </c>
    </row>
    <row r="1508" spans="1:5">
      <c r="A1508" s="138" t="s">
        <v>415</v>
      </c>
      <c r="B1508" s="288">
        <v>75000</v>
      </c>
      <c r="C1508" s="288">
        <v>10000</v>
      </c>
      <c r="D1508" s="288"/>
      <c r="E1508" s="288">
        <f t="shared" si="106"/>
        <v>85000</v>
      </c>
    </row>
    <row r="1509" spans="1:5">
      <c r="A1509" s="86"/>
      <c r="B1509" s="288"/>
      <c r="C1509" s="288"/>
      <c r="D1509" s="288"/>
      <c r="E1509" s="288">
        <f t="shared" si="106"/>
        <v>0</v>
      </c>
    </row>
    <row r="1510" spans="1:5">
      <c r="A1510" s="77" t="s">
        <v>264</v>
      </c>
      <c r="B1510" s="288">
        <v>342000</v>
      </c>
      <c r="C1510" s="288">
        <v>-115910</v>
      </c>
      <c r="D1510" s="288">
        <v>-31100</v>
      </c>
      <c r="E1510" s="288">
        <f t="shared" si="106"/>
        <v>194990</v>
      </c>
    </row>
    <row r="1511" spans="1:5">
      <c r="A1511" s="294"/>
      <c r="B1511" s="288"/>
      <c r="C1511" s="288"/>
      <c r="D1511" s="288"/>
      <c r="E1511" s="288">
        <f t="shared" si="106"/>
        <v>0</v>
      </c>
    </row>
    <row r="1512" spans="1:5">
      <c r="A1512" s="77" t="s">
        <v>265</v>
      </c>
      <c r="B1512" s="288">
        <v>287000</v>
      </c>
      <c r="C1512" s="288">
        <v>-7780</v>
      </c>
      <c r="D1512" s="288"/>
      <c r="E1512" s="288">
        <f t="shared" si="106"/>
        <v>279220</v>
      </c>
    </row>
    <row r="1513" spans="1:5">
      <c r="A1513" s="122"/>
      <c r="B1513" s="288"/>
      <c r="C1513" s="288"/>
      <c r="D1513" s="288"/>
      <c r="E1513" s="288">
        <f t="shared" si="106"/>
        <v>0</v>
      </c>
    </row>
    <row r="1514" spans="1:5">
      <c r="A1514" s="77" t="s">
        <v>22</v>
      </c>
      <c r="B1514" s="288">
        <v>20000</v>
      </c>
      <c r="C1514" s="288"/>
      <c r="D1514" s="288">
        <v>2000</v>
      </c>
      <c r="E1514" s="288">
        <f t="shared" si="106"/>
        <v>22000</v>
      </c>
    </row>
    <row r="1515" spans="1:5">
      <c r="A1515" s="278"/>
      <c r="B1515" s="628"/>
      <c r="E1515" s="628">
        <f t="shared" si="106"/>
        <v>0</v>
      </c>
    </row>
    <row r="1516" spans="1:5">
      <c r="A1516" s="278"/>
      <c r="B1516" s="288"/>
      <c r="E1516" s="288">
        <f t="shared" si="106"/>
        <v>0</v>
      </c>
    </row>
    <row r="1517" spans="1:5" ht="15.75">
      <c r="A1517" s="95" t="s">
        <v>29</v>
      </c>
      <c r="B1517" s="288"/>
      <c r="E1517" s="288">
        <f t="shared" si="106"/>
        <v>0</v>
      </c>
    </row>
    <row r="1518" spans="1:5">
      <c r="A1518" s="77"/>
      <c r="B1518" s="288"/>
      <c r="E1518" s="288">
        <f t="shared" si="106"/>
        <v>0</v>
      </c>
    </row>
    <row r="1519" spans="1:5">
      <c r="A1519" s="76" t="s">
        <v>30</v>
      </c>
      <c r="B1519" s="284">
        <v>5500000</v>
      </c>
      <c r="C1519" s="284">
        <v>-185000</v>
      </c>
      <c r="D1519" s="284">
        <v>-10000</v>
      </c>
      <c r="E1519" s="284">
        <f t="shared" si="106"/>
        <v>5305000</v>
      </c>
    </row>
    <row r="1520" spans="1:5">
      <c r="A1520" s="191"/>
      <c r="B1520" s="284"/>
      <c r="E1520" s="284">
        <f t="shared" si="106"/>
        <v>0</v>
      </c>
    </row>
    <row r="1521" spans="1:6">
      <c r="A1521" s="76" t="s">
        <v>455</v>
      </c>
      <c r="B1521" s="284">
        <f>B1522+B1523</f>
        <v>8027950</v>
      </c>
      <c r="C1521" s="284">
        <f t="shared" ref="C1521:D1521" si="109">C1522+C1523</f>
        <v>-371678</v>
      </c>
      <c r="D1521" s="284">
        <f t="shared" si="109"/>
        <v>-5744023</v>
      </c>
      <c r="E1521" s="284">
        <f t="shared" si="106"/>
        <v>1912249</v>
      </c>
    </row>
    <row r="1522" spans="1:6">
      <c r="A1522" s="191" t="s">
        <v>31</v>
      </c>
      <c r="B1522" s="284">
        <v>1490000</v>
      </c>
      <c r="C1522" s="284">
        <f>-60387-13000-15481-85638-61274-9000</f>
        <v>-244780</v>
      </c>
      <c r="D1522" s="284">
        <f>-50565-2000</f>
        <v>-52565</v>
      </c>
      <c r="E1522" s="284">
        <f t="shared" si="106"/>
        <v>1192655</v>
      </c>
    </row>
    <row r="1523" spans="1:6">
      <c r="A1523" s="191" t="s">
        <v>46</v>
      </c>
      <c r="B1523" s="284">
        <f>SUM(B1524:B1526)</f>
        <v>6537950</v>
      </c>
      <c r="C1523" s="284">
        <f t="shared" ref="C1523:D1523" si="110">SUM(C1524:C1526)</f>
        <v>-126898</v>
      </c>
      <c r="D1523" s="284">
        <f t="shared" si="110"/>
        <v>-5691458</v>
      </c>
      <c r="E1523" s="284">
        <f t="shared" si="106"/>
        <v>719594</v>
      </c>
    </row>
    <row r="1524" spans="1:6">
      <c r="A1524" s="195" t="s">
        <v>32</v>
      </c>
      <c r="B1524" s="288">
        <f>1625000-18468-5000-10000-70000-14000</f>
        <v>1507532</v>
      </c>
      <c r="D1524" s="278">
        <v>-1107532</v>
      </c>
      <c r="E1524" s="288">
        <f t="shared" si="106"/>
        <v>400000</v>
      </c>
    </row>
    <row r="1525" spans="1:6" ht="25.5">
      <c r="A1525" s="192" t="s">
        <v>33</v>
      </c>
      <c r="B1525" s="288">
        <v>100000</v>
      </c>
      <c r="E1525" s="288">
        <f t="shared" si="106"/>
        <v>100000</v>
      </c>
    </row>
    <row r="1526" spans="1:6" ht="25.5">
      <c r="A1526" s="348" t="s">
        <v>503</v>
      </c>
      <c r="B1526" s="288">
        <f>5000000-20000-15000-25500-9082</f>
        <v>4930418</v>
      </c>
      <c r="C1526" s="288">
        <f>-121817-5081</f>
        <v>-126898</v>
      </c>
      <c r="D1526" s="288">
        <f>-4480926-98000-5000</f>
        <v>-4583926</v>
      </c>
      <c r="E1526" s="288">
        <f t="shared" si="106"/>
        <v>219594</v>
      </c>
    </row>
    <row r="1527" spans="1:6" ht="33.75">
      <c r="A1527" s="145" t="s">
        <v>450</v>
      </c>
      <c r="B1527" s="288"/>
      <c r="E1527" s="288">
        <f t="shared" si="106"/>
        <v>0</v>
      </c>
    </row>
    <row r="1528" spans="1:6">
      <c r="A1528" s="145"/>
      <c r="B1528" s="288"/>
      <c r="E1528" s="288">
        <f t="shared" si="106"/>
        <v>0</v>
      </c>
    </row>
    <row r="1529" spans="1:6">
      <c r="A1529" s="313" t="s">
        <v>47</v>
      </c>
      <c r="B1529" s="284">
        <v>76000000</v>
      </c>
      <c r="C1529" s="284">
        <v>10000000</v>
      </c>
      <c r="D1529" s="284"/>
      <c r="E1529" s="284">
        <f t="shared" si="106"/>
        <v>86000000</v>
      </c>
    </row>
    <row r="1530" spans="1:6">
      <c r="A1530" s="313"/>
      <c r="B1530" s="284"/>
      <c r="E1530" s="284">
        <f t="shared" si="106"/>
        <v>0</v>
      </c>
    </row>
    <row r="1531" spans="1:6" ht="15.75">
      <c r="A1531" s="349" t="s">
        <v>133</v>
      </c>
      <c r="B1531" s="350">
        <f ca="1">SUMIF($A5:B1529,$A$6,B5:B1529)+B1519+B1521+B1529</f>
        <v>473562494</v>
      </c>
      <c r="C1531" s="350">
        <f ca="1">SUMIF($A5:C1529,$A$6,C5:C1529)+C1519+C1521+C1529</f>
        <v>13803035</v>
      </c>
      <c r="D1531" s="350">
        <f ca="1">SUMIF($A5:D1529,$A$6,D5:D1529)+D1519+D1521+D1529</f>
        <v>-3155673</v>
      </c>
      <c r="E1531" s="350">
        <f ca="1">SUMIF($A5:E1529,$A$6,E5:E1529)+E1519+E1521+E1529</f>
        <v>484209856</v>
      </c>
      <c r="F1531" s="280"/>
    </row>
    <row r="1532" spans="1:6">
      <c r="A1532" s="27" t="s">
        <v>185</v>
      </c>
      <c r="B1532" s="351">
        <f ca="1">SUMIF($A6:B1529,$A$7,B6:B1529)</f>
        <v>45405782</v>
      </c>
      <c r="C1532" s="351">
        <f ca="1">SUMIF($A6:C1529,$A$7,C6:C1529)</f>
        <v>91295</v>
      </c>
      <c r="D1532" s="351">
        <f ca="1">SUMIF($A6:D1529,$A$7,D6:D1529)</f>
        <v>720911</v>
      </c>
      <c r="E1532" s="351">
        <f ca="1">SUMIF($A6:E1529,$A$7,E6:E1529)</f>
        <v>46217988</v>
      </c>
      <c r="F1532" s="280"/>
    </row>
    <row r="1533" spans="1:6">
      <c r="C1533" s="279"/>
      <c r="D1533" s="279"/>
      <c r="F1533" s="280"/>
    </row>
    <row r="1534" spans="1:6" ht="15.75">
      <c r="A1534" s="28" t="s">
        <v>169</v>
      </c>
      <c r="B1534" s="350">
        <f ca="1">SUMIF($A$6:B1529,$A$1534,B6:B1529)+B1519+B1521+B1529</f>
        <v>473562494</v>
      </c>
      <c r="C1534" s="350">
        <f ca="1">SUMIF($A$6:C1529,$A$1534,C6:C1529)+C1519+C1521+C1529</f>
        <v>13803035</v>
      </c>
      <c r="D1534" s="350">
        <f ca="1">SUMIF($A$6:D1529,$A$1534,D6:D1529)+D1519+D1521+D1529</f>
        <v>-3155673</v>
      </c>
      <c r="E1534" s="350">
        <f ca="1">SUMIF($A$6:E1529,$A$1534,E6:E1529)+E1519+E1521+E1529</f>
        <v>484209856</v>
      </c>
      <c r="F1534" s="280"/>
    </row>
    <row r="1535" spans="1:6">
      <c r="A1535" s="29" t="s">
        <v>170</v>
      </c>
      <c r="B1535" s="307">
        <f ca="1">SUMIF($A4:B1529,$A$1535,B4:B1529)</f>
        <v>61803515</v>
      </c>
      <c r="C1535" s="307">
        <f ca="1">SUMIF($A4:C1529,$A$1535,C4:C1529)</f>
        <v>-119476</v>
      </c>
      <c r="D1535" s="307">
        <f ca="1">SUMIF($A4:D1529,$A$1535,D4:D1529)</f>
        <v>1325417</v>
      </c>
      <c r="E1535" s="307">
        <f ca="1">SUMIF($A4:E1529,$A$1535,E4:E1529)</f>
        <v>63009456</v>
      </c>
      <c r="F1535" s="280"/>
    </row>
    <row r="1536" spans="1:6">
      <c r="A1536" s="30" t="s">
        <v>152</v>
      </c>
      <c r="B1536" s="307">
        <f ca="1">SUMIF($A6:B1529,$A$1536,B6:B1529)</f>
        <v>153510</v>
      </c>
      <c r="C1536" s="307">
        <f ca="1">SUMIF($A6:C1529,$A$1536,C6:C1529)</f>
        <v>498392</v>
      </c>
      <c r="D1536" s="307">
        <f ca="1">SUMIF($A6:D1529,$A$1536,D6:D1529)</f>
        <v>84256</v>
      </c>
      <c r="E1536" s="307">
        <f ca="1">SUMIF($A6:E1529,$A$1536,E6:E1529)</f>
        <v>736158</v>
      </c>
      <c r="F1536" s="280"/>
    </row>
    <row r="1537" spans="1:6">
      <c r="A1537" s="30" t="s">
        <v>1081</v>
      </c>
      <c r="B1537" s="307"/>
      <c r="C1537" s="307"/>
      <c r="D1537" s="307">
        <f>D843</f>
        <v>418</v>
      </c>
      <c r="E1537" s="307">
        <f>E843</f>
        <v>418</v>
      </c>
      <c r="F1537" s="280"/>
    </row>
    <row r="1538" spans="1:6">
      <c r="A1538" s="30" t="s">
        <v>11</v>
      </c>
      <c r="B1538" s="307">
        <f>B1529</f>
        <v>76000000</v>
      </c>
      <c r="C1538" s="307">
        <f t="shared" ref="C1538:E1538" si="111">C1529</f>
        <v>10000000</v>
      </c>
      <c r="D1538" s="307">
        <f t="shared" si="111"/>
        <v>0</v>
      </c>
      <c r="E1538" s="307">
        <f t="shared" si="111"/>
        <v>86000000</v>
      </c>
      <c r="F1538" s="280"/>
    </row>
    <row r="1539" spans="1:6">
      <c r="A1539" s="30" t="s">
        <v>171</v>
      </c>
      <c r="B1539" s="307">
        <f ca="1">SUMIF($A6:B1529,$A$1539,B6:B1500)+B1519+B1521+B1057</f>
        <v>335605469</v>
      </c>
      <c r="C1539" s="307">
        <f ca="1">SUMIF($A6:C1529,$A$1539,C6:C1500)+C1519+C1521+C1057</f>
        <v>3424119</v>
      </c>
      <c r="D1539" s="307">
        <f ca="1">SUMIF($A6:D1529,$A$1539,D6:D1500)+D1519+D1521+D1057</f>
        <v>-4565764</v>
      </c>
      <c r="E1539" s="307">
        <f ca="1">SUMIF($A6:E1529,$A$1539,E6:E1500)+E1519+E1521+E1057</f>
        <v>334463824</v>
      </c>
      <c r="F1539" s="280"/>
    </row>
    <row r="1540" spans="1:6">
      <c r="B1540" s="629">
        <f ca="1">SUM(B1535:B1539)-B1534</f>
        <v>0</v>
      </c>
      <c r="C1540" s="629">
        <f t="shared" ref="C1540:E1540" ca="1" si="112">SUM(C1535:C1539)-C1534</f>
        <v>0</v>
      </c>
      <c r="D1540" s="629">
        <f t="shared" ca="1" si="112"/>
        <v>0</v>
      </c>
      <c r="E1540" s="629">
        <f t="shared" ca="1" si="112"/>
        <v>0</v>
      </c>
    </row>
  </sheetData>
  <pageMargins left="1.1811023622047245" right="0.47244094488188981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showZeros="0" zoomScaleNormal="100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52.7109375" style="363" customWidth="1"/>
    <col min="2" max="2" width="8" style="361" customWidth="1"/>
    <col min="3" max="3" width="12.140625" style="361" hidden="1" customWidth="1"/>
    <col min="4" max="4" width="11.28515625" style="361" customWidth="1"/>
    <col min="5" max="6" width="11.28515625" style="361" hidden="1" customWidth="1"/>
    <col min="7" max="7" width="11.28515625" style="361" customWidth="1"/>
    <col min="8" max="16384" width="9.140625" style="361"/>
  </cols>
  <sheetData>
    <row r="1" spans="1:7" ht="15">
      <c r="A1" s="355" t="s">
        <v>770</v>
      </c>
      <c r="D1" s="364"/>
      <c r="E1" s="364"/>
      <c r="F1" s="364"/>
      <c r="G1" s="364"/>
    </row>
    <row r="2" spans="1:7">
      <c r="A2" s="357"/>
      <c r="C2" s="363"/>
      <c r="E2" s="365"/>
      <c r="F2" s="365"/>
      <c r="G2" s="365"/>
    </row>
    <row r="3" spans="1:7">
      <c r="A3" s="357"/>
      <c r="C3" s="363"/>
      <c r="D3" s="365"/>
      <c r="E3" s="365"/>
      <c r="F3" s="365"/>
      <c r="G3" s="365" t="s">
        <v>134</v>
      </c>
    </row>
    <row r="4" spans="1:7" ht="25.5">
      <c r="A4" s="366" t="s">
        <v>771</v>
      </c>
      <c r="B4" s="367" t="s">
        <v>772</v>
      </c>
      <c r="C4" s="368" t="s">
        <v>773</v>
      </c>
      <c r="D4" s="369" t="s">
        <v>702</v>
      </c>
      <c r="E4" s="369" t="s">
        <v>700</v>
      </c>
      <c r="F4" s="369" t="s">
        <v>1067</v>
      </c>
      <c r="G4" s="369" t="s">
        <v>701</v>
      </c>
    </row>
    <row r="5" spans="1:7" ht="12.75" customHeight="1">
      <c r="A5" s="370"/>
      <c r="B5" s="371"/>
      <c r="C5" s="371"/>
      <c r="D5" s="372"/>
      <c r="E5" s="372"/>
      <c r="F5" s="372"/>
      <c r="G5" s="372"/>
    </row>
    <row r="6" spans="1:7" ht="12.75" customHeight="1">
      <c r="A6" s="538" t="s">
        <v>775</v>
      </c>
      <c r="B6" s="538"/>
      <c r="C6" s="538"/>
      <c r="D6" s="538"/>
      <c r="E6" s="538"/>
      <c r="F6" s="538"/>
      <c r="G6" s="538"/>
    </row>
    <row r="7" spans="1:7" ht="12.75" customHeight="1">
      <c r="A7" s="373" t="s">
        <v>776</v>
      </c>
      <c r="B7" s="374" t="s">
        <v>777</v>
      </c>
      <c r="C7" s="374">
        <f>C8+C10+C11+C12+C9</f>
        <v>188595477</v>
      </c>
      <c r="D7" s="374">
        <f t="shared" ref="D7" si="0">D8+D10+D11+D12</f>
        <v>87958967</v>
      </c>
      <c r="E7" s="374">
        <f>E8+E10+E11+E12+E9</f>
        <v>4257921</v>
      </c>
      <c r="F7" s="374">
        <f>F8+F10+F11+F12+F9</f>
        <v>3349270</v>
      </c>
      <c r="G7" s="374">
        <f>SUM(D7:F7)</f>
        <v>95566158</v>
      </c>
    </row>
    <row r="8" spans="1:7" ht="12.75" customHeight="1">
      <c r="A8" s="375" t="s">
        <v>778</v>
      </c>
      <c r="B8" s="376" t="s">
        <v>779</v>
      </c>
      <c r="C8" s="377">
        <f>C15+C259</f>
        <v>128510928</v>
      </c>
      <c r="D8" s="377">
        <f>D15+D259</f>
        <v>63702061</v>
      </c>
      <c r="E8" s="377">
        <f>E15+E259</f>
        <v>3447041</v>
      </c>
      <c r="F8" s="377">
        <f>F15+F259</f>
        <v>3349270</v>
      </c>
      <c r="G8" s="377">
        <f t="shared" ref="G8:G20" si="1">SUM(D8:F8)</f>
        <v>70498372</v>
      </c>
    </row>
    <row r="9" spans="1:7" ht="12.75" customHeight="1">
      <c r="A9" s="375"/>
      <c r="B9" s="376" t="s">
        <v>780</v>
      </c>
      <c r="C9" s="377">
        <f t="shared" ref="C9:D9" si="2">C16</f>
        <v>56033</v>
      </c>
      <c r="D9" s="377">
        <f t="shared" si="2"/>
        <v>0</v>
      </c>
      <c r="E9" s="377">
        <f>E16</f>
        <v>56033</v>
      </c>
      <c r="F9" s="377">
        <f>F16</f>
        <v>0</v>
      </c>
      <c r="G9" s="377">
        <f t="shared" si="1"/>
        <v>56033</v>
      </c>
    </row>
    <row r="10" spans="1:7">
      <c r="A10" s="375"/>
      <c r="B10" s="376" t="s">
        <v>781</v>
      </c>
      <c r="C10" s="377">
        <f>C17</f>
        <v>1598410</v>
      </c>
      <c r="D10" s="377">
        <f t="shared" ref="D10:E12" si="3">D17</f>
        <v>551632</v>
      </c>
      <c r="E10" s="377">
        <f t="shared" si="3"/>
        <v>0</v>
      </c>
      <c r="F10" s="377">
        <f t="shared" ref="F10" si="4">F17</f>
        <v>0</v>
      </c>
      <c r="G10" s="377">
        <f t="shared" si="1"/>
        <v>551632</v>
      </c>
    </row>
    <row r="11" spans="1:7">
      <c r="A11" s="375"/>
      <c r="B11" s="376" t="s">
        <v>782</v>
      </c>
      <c r="C11" s="377">
        <f>C18</f>
        <v>4350328</v>
      </c>
      <c r="D11" s="377">
        <f t="shared" si="3"/>
        <v>3222980</v>
      </c>
      <c r="E11" s="377">
        <f t="shared" si="3"/>
        <v>584251</v>
      </c>
      <c r="F11" s="377">
        <f t="shared" ref="F11" si="5">F18</f>
        <v>0</v>
      </c>
      <c r="G11" s="377">
        <f t="shared" si="1"/>
        <v>3807231</v>
      </c>
    </row>
    <row r="12" spans="1:7" ht="12.75" customHeight="1">
      <c r="A12" s="378"/>
      <c r="B12" s="376" t="s">
        <v>783</v>
      </c>
      <c r="C12" s="377">
        <f>C19</f>
        <v>54079778</v>
      </c>
      <c r="D12" s="377">
        <f t="shared" si="3"/>
        <v>20482294</v>
      </c>
      <c r="E12" s="377">
        <f t="shared" si="3"/>
        <v>170596</v>
      </c>
      <c r="F12" s="377">
        <f t="shared" ref="F12" si="6">F19</f>
        <v>0</v>
      </c>
      <c r="G12" s="377">
        <f t="shared" si="1"/>
        <v>20652890</v>
      </c>
    </row>
    <row r="13" spans="1:7" ht="12.75" customHeight="1">
      <c r="A13" s="370"/>
      <c r="B13" s="371"/>
      <c r="C13" s="371"/>
      <c r="D13" s="372"/>
      <c r="E13" s="372"/>
      <c r="F13" s="372"/>
      <c r="G13" s="372">
        <f t="shared" si="1"/>
        <v>0</v>
      </c>
    </row>
    <row r="14" spans="1:7">
      <c r="A14" s="379" t="s">
        <v>784</v>
      </c>
      <c r="B14" s="380" t="s">
        <v>777</v>
      </c>
      <c r="C14" s="380">
        <f>C15+C17+C18+C19+C16</f>
        <v>178601477</v>
      </c>
      <c r="D14" s="380">
        <f t="shared" ref="D14" si="7">D15+D17+D18+D19</f>
        <v>81214967</v>
      </c>
      <c r="E14" s="380">
        <f>E15+E17+E18+E19+E16</f>
        <v>3957921</v>
      </c>
      <c r="F14" s="380">
        <f>F15+F17+F18+F19+F16</f>
        <v>-1257150</v>
      </c>
      <c r="G14" s="380">
        <f t="shared" si="1"/>
        <v>83915738</v>
      </c>
    </row>
    <row r="15" spans="1:7">
      <c r="A15" s="375" t="s">
        <v>778</v>
      </c>
      <c r="B15" s="376" t="s">
        <v>779</v>
      </c>
      <c r="C15" s="377">
        <f>C23+C74</f>
        <v>118516928</v>
      </c>
      <c r="D15" s="377">
        <f>D23+D74</f>
        <v>56958061</v>
      </c>
      <c r="E15" s="377">
        <f>E23+E74</f>
        <v>3147041</v>
      </c>
      <c r="F15" s="377">
        <f>F23+F74</f>
        <v>-1257150</v>
      </c>
      <c r="G15" s="377">
        <f t="shared" si="1"/>
        <v>58847952</v>
      </c>
    </row>
    <row r="16" spans="1:7">
      <c r="A16" s="375"/>
      <c r="B16" s="376" t="s">
        <v>780</v>
      </c>
      <c r="C16" s="377">
        <f t="shared" ref="C16:D16" si="8">C75</f>
        <v>56033</v>
      </c>
      <c r="D16" s="377">
        <f t="shared" si="8"/>
        <v>0</v>
      </c>
      <c r="E16" s="377">
        <f>E75</f>
        <v>56033</v>
      </c>
      <c r="F16" s="377">
        <f>F75</f>
        <v>0</v>
      </c>
      <c r="G16" s="377">
        <f t="shared" si="1"/>
        <v>56033</v>
      </c>
    </row>
    <row r="17" spans="1:7">
      <c r="A17" s="375"/>
      <c r="B17" s="376" t="s">
        <v>781</v>
      </c>
      <c r="C17" s="377">
        <f>C24+C76</f>
        <v>1598410</v>
      </c>
      <c r="D17" s="377">
        <f>D24+D76</f>
        <v>551632</v>
      </c>
      <c r="E17" s="377">
        <f>E24+E76</f>
        <v>0</v>
      </c>
      <c r="F17" s="377">
        <f>F24+F76</f>
        <v>0</v>
      </c>
      <c r="G17" s="377">
        <f t="shared" si="1"/>
        <v>551632</v>
      </c>
    </row>
    <row r="18" spans="1:7">
      <c r="A18" s="375"/>
      <c r="B18" s="376" t="s">
        <v>782</v>
      </c>
      <c r="C18" s="377">
        <f>C77</f>
        <v>4350328</v>
      </c>
      <c r="D18" s="377">
        <f t="shared" ref="D18:E18" si="9">D77</f>
        <v>3222980</v>
      </c>
      <c r="E18" s="377">
        <f t="shared" si="9"/>
        <v>584251</v>
      </c>
      <c r="F18" s="377">
        <f t="shared" ref="F18" si="10">F77</f>
        <v>0</v>
      </c>
      <c r="G18" s="377">
        <f t="shared" si="1"/>
        <v>3807231</v>
      </c>
    </row>
    <row r="19" spans="1:7" ht="12.75" customHeight="1">
      <c r="A19" s="378"/>
      <c r="B19" s="376" t="s">
        <v>783</v>
      </c>
      <c r="C19" s="377">
        <f>C25</f>
        <v>54079778</v>
      </c>
      <c r="D19" s="377">
        <f t="shared" ref="D19:E19" si="11">D25</f>
        <v>20482294</v>
      </c>
      <c r="E19" s="377">
        <f t="shared" si="11"/>
        <v>170596</v>
      </c>
      <c r="F19" s="377">
        <f t="shared" ref="F19" si="12">F25</f>
        <v>0</v>
      </c>
      <c r="G19" s="377">
        <f t="shared" si="1"/>
        <v>20652890</v>
      </c>
    </row>
    <row r="20" spans="1:7" ht="12.75" customHeight="1">
      <c r="A20" s="370"/>
      <c r="B20" s="371"/>
      <c r="C20" s="371"/>
      <c r="D20" s="372"/>
      <c r="E20" s="372"/>
      <c r="F20" s="372"/>
      <c r="G20" s="372">
        <f t="shared" si="1"/>
        <v>0</v>
      </c>
    </row>
    <row r="21" spans="1:7" ht="12.75" customHeight="1">
      <c r="A21" s="539" t="s">
        <v>785</v>
      </c>
      <c r="B21" s="539"/>
      <c r="C21" s="539"/>
      <c r="D21" s="539"/>
      <c r="E21" s="539"/>
      <c r="F21" s="539"/>
      <c r="G21" s="539"/>
    </row>
    <row r="22" spans="1:7" ht="12.75" customHeight="1">
      <c r="A22" s="381" t="s">
        <v>786</v>
      </c>
      <c r="B22" s="382" t="s">
        <v>777</v>
      </c>
      <c r="C22" s="383">
        <f>C23+C24+C25</f>
        <v>73247999</v>
      </c>
      <c r="D22" s="383">
        <f t="shared" ref="D22:E22" si="13">D23+D24+D25</f>
        <v>24941555</v>
      </c>
      <c r="E22" s="383">
        <f t="shared" si="13"/>
        <v>221530</v>
      </c>
      <c r="F22" s="383">
        <f t="shared" ref="F22" si="14">F23+F24+F25</f>
        <v>-10000</v>
      </c>
      <c r="G22" s="383">
        <f t="shared" ref="G22:G85" si="15">SUM(D22:F22)</f>
        <v>25153085</v>
      </c>
    </row>
    <row r="23" spans="1:7">
      <c r="A23" s="384" t="s">
        <v>778</v>
      </c>
      <c r="B23" s="385" t="s">
        <v>779</v>
      </c>
      <c r="C23" s="386">
        <f>C27+C48+C42+C67</f>
        <v>17654811</v>
      </c>
      <c r="D23" s="386">
        <f>D27+D48</f>
        <v>3992629</v>
      </c>
      <c r="E23" s="386">
        <f>E27+E48+E42+E67</f>
        <v>50934</v>
      </c>
      <c r="F23" s="386">
        <f>F27+F48+F42+F67</f>
        <v>-10000</v>
      </c>
      <c r="G23" s="386">
        <f t="shared" si="15"/>
        <v>4033563</v>
      </c>
    </row>
    <row r="24" spans="1:7">
      <c r="A24" s="375"/>
      <c r="B24" s="385" t="s">
        <v>781</v>
      </c>
      <c r="C24" s="386">
        <f>C49+C36</f>
        <v>1513410</v>
      </c>
      <c r="D24" s="386">
        <f t="shared" ref="D24:E24" si="16">D49+D36</f>
        <v>466632</v>
      </c>
      <c r="E24" s="386">
        <f t="shared" si="16"/>
        <v>0</v>
      </c>
      <c r="F24" s="386">
        <f t="shared" ref="F24" si="17">F49+F36</f>
        <v>0</v>
      </c>
      <c r="G24" s="386">
        <f t="shared" si="15"/>
        <v>466632</v>
      </c>
    </row>
    <row r="25" spans="1:7">
      <c r="A25" s="378"/>
      <c r="B25" s="385" t="s">
        <v>783</v>
      </c>
      <c r="C25" s="386">
        <f>C28+C37+C50+C43+C68</f>
        <v>54079778</v>
      </c>
      <c r="D25" s="386">
        <f t="shared" ref="D25" si="18">D28+D37+D50</f>
        <v>20482294</v>
      </c>
      <c r="E25" s="386">
        <f>E28+E37+E50+E43+E68</f>
        <v>170596</v>
      </c>
      <c r="F25" s="386">
        <f>F28+F37+F50+F43+F68</f>
        <v>0</v>
      </c>
      <c r="G25" s="386">
        <f t="shared" si="15"/>
        <v>20652890</v>
      </c>
    </row>
    <row r="26" spans="1:7">
      <c r="A26" s="387" t="s">
        <v>640</v>
      </c>
      <c r="B26" s="388" t="s">
        <v>777</v>
      </c>
      <c r="C26" s="389">
        <f>C27+C28</f>
        <v>3450000</v>
      </c>
      <c r="D26" s="389">
        <f t="shared" ref="D26" si="19">D27+D28</f>
        <v>2847500</v>
      </c>
      <c r="E26" s="389"/>
      <c r="F26" s="389"/>
      <c r="G26" s="389">
        <f t="shared" si="15"/>
        <v>2847500</v>
      </c>
    </row>
    <row r="27" spans="1:7" ht="12.75" customHeight="1">
      <c r="A27" s="384" t="s">
        <v>778</v>
      </c>
      <c r="B27" s="385" t="s">
        <v>779</v>
      </c>
      <c r="C27" s="386">
        <f>C30+C33</f>
        <v>602500</v>
      </c>
      <c r="D27" s="386">
        <f t="shared" ref="D27:D28" si="20">D30+D33</f>
        <v>0</v>
      </c>
      <c r="E27" s="386"/>
      <c r="F27" s="386"/>
      <c r="G27" s="386">
        <f t="shared" si="15"/>
        <v>0</v>
      </c>
    </row>
    <row r="28" spans="1:7">
      <c r="A28" s="378"/>
      <c r="B28" s="385" t="s">
        <v>783</v>
      </c>
      <c r="C28" s="386">
        <f>C31+C34</f>
        <v>2847500</v>
      </c>
      <c r="D28" s="386">
        <f t="shared" si="20"/>
        <v>2847500</v>
      </c>
      <c r="E28" s="386"/>
      <c r="F28" s="386"/>
      <c r="G28" s="386">
        <f t="shared" si="15"/>
        <v>2847500</v>
      </c>
    </row>
    <row r="29" spans="1:7">
      <c r="A29" s="390" t="s">
        <v>590</v>
      </c>
      <c r="B29" s="385" t="s">
        <v>777</v>
      </c>
      <c r="C29" s="386">
        <f>C30+C31</f>
        <v>2600000</v>
      </c>
      <c r="D29" s="386">
        <f t="shared" ref="D29" si="21">D30+D31</f>
        <v>2125000</v>
      </c>
      <c r="E29" s="386"/>
      <c r="F29" s="386"/>
      <c r="G29" s="386">
        <f t="shared" si="15"/>
        <v>2125000</v>
      </c>
    </row>
    <row r="30" spans="1:7" ht="12.75" customHeight="1">
      <c r="A30" s="384" t="s">
        <v>778</v>
      </c>
      <c r="B30" s="391" t="s">
        <v>779</v>
      </c>
      <c r="C30" s="392">
        <v>475000</v>
      </c>
      <c r="D30" s="392"/>
      <c r="E30" s="392"/>
      <c r="F30" s="392"/>
      <c r="G30" s="392">
        <f t="shared" si="15"/>
        <v>0</v>
      </c>
    </row>
    <row r="31" spans="1:7">
      <c r="A31" s="378"/>
      <c r="B31" s="393" t="s">
        <v>783</v>
      </c>
      <c r="C31" s="394">
        <v>2125000</v>
      </c>
      <c r="D31" s="394">
        <v>2125000</v>
      </c>
      <c r="E31" s="394"/>
      <c r="F31" s="394"/>
      <c r="G31" s="394">
        <f t="shared" si="15"/>
        <v>2125000</v>
      </c>
    </row>
    <row r="32" spans="1:7">
      <c r="A32" s="390" t="s">
        <v>591</v>
      </c>
      <c r="B32" s="385" t="s">
        <v>777</v>
      </c>
      <c r="C32" s="386">
        <f>C33+C34</f>
        <v>850000</v>
      </c>
      <c r="D32" s="386">
        <f t="shared" ref="D32" si="22">D33+D34</f>
        <v>722500</v>
      </c>
      <c r="E32" s="386"/>
      <c r="F32" s="386"/>
      <c r="G32" s="386">
        <f t="shared" si="15"/>
        <v>722500</v>
      </c>
    </row>
    <row r="33" spans="1:7">
      <c r="A33" s="384" t="s">
        <v>778</v>
      </c>
      <c r="B33" s="391" t="s">
        <v>779</v>
      </c>
      <c r="C33" s="392">
        <v>127500</v>
      </c>
      <c r="D33" s="392"/>
      <c r="E33" s="392"/>
      <c r="F33" s="392"/>
      <c r="G33" s="392">
        <f t="shared" si="15"/>
        <v>0</v>
      </c>
    </row>
    <row r="34" spans="1:7">
      <c r="A34" s="378"/>
      <c r="B34" s="393" t="s">
        <v>783</v>
      </c>
      <c r="C34" s="394">
        <v>722500</v>
      </c>
      <c r="D34" s="394">
        <v>722500</v>
      </c>
      <c r="E34" s="394"/>
      <c r="F34" s="394"/>
      <c r="G34" s="394">
        <f t="shared" si="15"/>
        <v>722500</v>
      </c>
    </row>
    <row r="35" spans="1:7">
      <c r="A35" s="387" t="s">
        <v>641</v>
      </c>
      <c r="B35" s="388" t="s">
        <v>777</v>
      </c>
      <c r="C35" s="389">
        <f>C36+C37</f>
        <v>589082</v>
      </c>
      <c r="D35" s="389">
        <f t="shared" ref="D35" si="23">D36+D37</f>
        <v>260785</v>
      </c>
      <c r="E35" s="389"/>
      <c r="F35" s="389"/>
      <c r="G35" s="389">
        <f t="shared" si="15"/>
        <v>260785</v>
      </c>
    </row>
    <row r="36" spans="1:7" ht="12.75" customHeight="1">
      <c r="A36" s="384" t="s">
        <v>778</v>
      </c>
      <c r="B36" s="391" t="s">
        <v>781</v>
      </c>
      <c r="C36" s="392">
        <f>C39</f>
        <v>88362</v>
      </c>
      <c r="D36" s="392">
        <f>D39</f>
        <v>39118</v>
      </c>
      <c r="E36" s="392"/>
      <c r="F36" s="392"/>
      <c r="G36" s="392">
        <f t="shared" si="15"/>
        <v>39118</v>
      </c>
    </row>
    <row r="37" spans="1:7">
      <c r="A37" s="378"/>
      <c r="B37" s="393" t="s">
        <v>783</v>
      </c>
      <c r="C37" s="394">
        <f>C40</f>
        <v>500720</v>
      </c>
      <c r="D37" s="394">
        <f t="shared" ref="D37" si="24">D40</f>
        <v>221667</v>
      </c>
      <c r="E37" s="394"/>
      <c r="F37" s="394"/>
      <c r="G37" s="394">
        <f t="shared" si="15"/>
        <v>221667</v>
      </c>
    </row>
    <row r="38" spans="1:7" ht="25.5">
      <c r="A38" s="390" t="s">
        <v>787</v>
      </c>
      <c r="B38" s="385" t="s">
        <v>777</v>
      </c>
      <c r="C38" s="386">
        <f>C39+C40</f>
        <v>589082</v>
      </c>
      <c r="D38" s="386">
        <f t="shared" ref="D38" si="25">D39+D40</f>
        <v>260785</v>
      </c>
      <c r="E38" s="386"/>
      <c r="F38" s="386"/>
      <c r="G38" s="386">
        <f t="shared" si="15"/>
        <v>260785</v>
      </c>
    </row>
    <row r="39" spans="1:7">
      <c r="A39" s="384" t="s">
        <v>778</v>
      </c>
      <c r="B39" s="391" t="s">
        <v>781</v>
      </c>
      <c r="C39" s="392">
        <v>88362</v>
      </c>
      <c r="D39" s="392">
        <v>39118</v>
      </c>
      <c r="E39" s="392"/>
      <c r="F39" s="392"/>
      <c r="G39" s="392">
        <f t="shared" si="15"/>
        <v>39118</v>
      </c>
    </row>
    <row r="40" spans="1:7">
      <c r="A40" s="378"/>
      <c r="B40" s="393" t="s">
        <v>783</v>
      </c>
      <c r="C40" s="394">
        <v>500720</v>
      </c>
      <c r="D40" s="394">
        <v>221667</v>
      </c>
      <c r="E40" s="394"/>
      <c r="F40" s="394"/>
      <c r="G40" s="394">
        <f t="shared" si="15"/>
        <v>221667</v>
      </c>
    </row>
    <row r="41" spans="1:7">
      <c r="A41" s="387" t="s">
        <v>705</v>
      </c>
      <c r="B41" s="388" t="s">
        <v>777</v>
      </c>
      <c r="C41" s="389">
        <f>C42+C43</f>
        <v>73950</v>
      </c>
      <c r="D41" s="389"/>
      <c r="E41" s="389">
        <f>E42+E43</f>
        <v>73950</v>
      </c>
      <c r="F41" s="389"/>
      <c r="G41" s="389">
        <f t="shared" si="15"/>
        <v>73950</v>
      </c>
    </row>
    <row r="42" spans="1:7">
      <c r="A42" s="384" t="s">
        <v>778</v>
      </c>
      <c r="B42" s="385" t="s">
        <v>779</v>
      </c>
      <c r="C42" s="386">
        <f>C45</f>
        <v>11093</v>
      </c>
      <c r="D42" s="386"/>
      <c r="E42" s="386">
        <f t="shared" ref="E42:E43" si="26">E45</f>
        <v>11093</v>
      </c>
      <c r="F42" s="392"/>
      <c r="G42" s="392">
        <f t="shared" si="15"/>
        <v>11093</v>
      </c>
    </row>
    <row r="43" spans="1:7">
      <c r="A43" s="378"/>
      <c r="B43" s="393" t="s">
        <v>783</v>
      </c>
      <c r="C43" s="394">
        <f>C46</f>
        <v>62857</v>
      </c>
      <c r="D43" s="394"/>
      <c r="E43" s="394">
        <f t="shared" si="26"/>
        <v>62857</v>
      </c>
      <c r="F43" s="394"/>
      <c r="G43" s="394">
        <f t="shared" si="15"/>
        <v>62857</v>
      </c>
    </row>
    <row r="44" spans="1:7" ht="24">
      <c r="A44" s="395" t="s">
        <v>731</v>
      </c>
      <c r="B44" s="385" t="s">
        <v>777</v>
      </c>
      <c r="C44" s="394">
        <f>C45+C46</f>
        <v>73950</v>
      </c>
      <c r="D44" s="394"/>
      <c r="E44" s="394">
        <f>E45+E46</f>
        <v>73950</v>
      </c>
      <c r="F44" s="394"/>
      <c r="G44" s="386">
        <f t="shared" si="15"/>
        <v>73950</v>
      </c>
    </row>
    <row r="45" spans="1:7">
      <c r="A45" s="384" t="s">
        <v>778</v>
      </c>
      <c r="B45" s="385" t="s">
        <v>779</v>
      </c>
      <c r="C45" s="394">
        <v>11093</v>
      </c>
      <c r="D45" s="394"/>
      <c r="E45" s="394">
        <v>11093</v>
      </c>
      <c r="F45" s="397"/>
      <c r="G45" s="392">
        <f t="shared" si="15"/>
        <v>11093</v>
      </c>
    </row>
    <row r="46" spans="1:7">
      <c r="A46" s="378"/>
      <c r="B46" s="393" t="s">
        <v>783</v>
      </c>
      <c r="C46" s="394">
        <v>62857</v>
      </c>
      <c r="D46" s="394"/>
      <c r="E46" s="394">
        <v>62857</v>
      </c>
      <c r="F46" s="394"/>
      <c r="G46" s="394">
        <f t="shared" si="15"/>
        <v>62857</v>
      </c>
    </row>
    <row r="47" spans="1:7" ht="12.75" customHeight="1">
      <c r="A47" s="387" t="s">
        <v>642</v>
      </c>
      <c r="B47" s="388" t="s">
        <v>777</v>
      </c>
      <c r="C47" s="389">
        <f>C48+C49+C50</f>
        <v>68987387</v>
      </c>
      <c r="D47" s="389">
        <f t="shared" ref="D47:F47" si="27">D48+D49+D50</f>
        <v>21833270</v>
      </c>
      <c r="E47" s="389">
        <f t="shared" si="27"/>
        <v>0</v>
      </c>
      <c r="F47" s="389">
        <f t="shared" si="27"/>
        <v>-10000</v>
      </c>
      <c r="G47" s="389">
        <f t="shared" si="15"/>
        <v>21823270</v>
      </c>
    </row>
    <row r="48" spans="1:7">
      <c r="A48" s="384" t="s">
        <v>778</v>
      </c>
      <c r="B48" s="391" t="s">
        <v>779</v>
      </c>
      <c r="C48" s="392">
        <f>C52+C60</f>
        <v>17001377</v>
      </c>
      <c r="D48" s="392">
        <f t="shared" ref="D48:F48" si="28">D52+D60</f>
        <v>3992629</v>
      </c>
      <c r="E48" s="392">
        <f t="shared" si="28"/>
        <v>0</v>
      </c>
      <c r="F48" s="392">
        <f t="shared" si="28"/>
        <v>-10000</v>
      </c>
      <c r="G48" s="392">
        <f t="shared" si="15"/>
        <v>3982629</v>
      </c>
    </row>
    <row r="49" spans="1:7">
      <c r="A49" s="375"/>
      <c r="B49" s="396" t="s">
        <v>781</v>
      </c>
      <c r="C49" s="397">
        <f>C53</f>
        <v>1425048</v>
      </c>
      <c r="D49" s="397">
        <f t="shared" ref="D49:F49" si="29">D53</f>
        <v>427514</v>
      </c>
      <c r="E49" s="397">
        <f t="shared" si="29"/>
        <v>0</v>
      </c>
      <c r="F49" s="397">
        <f t="shared" si="29"/>
        <v>0</v>
      </c>
      <c r="G49" s="397">
        <f t="shared" si="15"/>
        <v>427514</v>
      </c>
    </row>
    <row r="50" spans="1:7">
      <c r="A50" s="378"/>
      <c r="B50" s="393" t="s">
        <v>783</v>
      </c>
      <c r="C50" s="394">
        <f>C54+C61</f>
        <v>50560962</v>
      </c>
      <c r="D50" s="394">
        <f t="shared" ref="D50:F50" si="30">D54+D61</f>
        <v>17413127</v>
      </c>
      <c r="E50" s="394">
        <f t="shared" si="30"/>
        <v>0</v>
      </c>
      <c r="F50" s="394">
        <f t="shared" si="30"/>
        <v>0</v>
      </c>
      <c r="G50" s="394">
        <f t="shared" si="15"/>
        <v>17413127</v>
      </c>
    </row>
    <row r="51" spans="1:7">
      <c r="A51" s="378" t="s">
        <v>612</v>
      </c>
      <c r="B51" s="393" t="s">
        <v>777</v>
      </c>
      <c r="C51" s="394">
        <f>C52+C53+C54</f>
        <v>64406932</v>
      </c>
      <c r="D51" s="394">
        <f t="shared" ref="D51:F51" si="31">D52+D53+D54</f>
        <v>19889270</v>
      </c>
      <c r="E51" s="394">
        <f t="shared" si="31"/>
        <v>0</v>
      </c>
      <c r="F51" s="394">
        <f t="shared" si="31"/>
        <v>-10000</v>
      </c>
      <c r="G51" s="394">
        <f t="shared" si="15"/>
        <v>19879270</v>
      </c>
    </row>
    <row r="52" spans="1:7" ht="12.75" customHeight="1">
      <c r="A52" s="398" t="s">
        <v>778</v>
      </c>
      <c r="B52" s="399" t="s">
        <v>779</v>
      </c>
      <c r="C52" s="394">
        <v>16310713</v>
      </c>
      <c r="D52" s="394">
        <v>3701029</v>
      </c>
      <c r="E52" s="394"/>
      <c r="F52" s="394">
        <v>-10000</v>
      </c>
      <c r="G52" s="394">
        <f t="shared" si="15"/>
        <v>3691029</v>
      </c>
    </row>
    <row r="53" spans="1:7">
      <c r="A53" s="400"/>
      <c r="B53" s="401" t="s">
        <v>781</v>
      </c>
      <c r="C53" s="394">
        <v>1425048</v>
      </c>
      <c r="D53" s="394">
        <v>427514</v>
      </c>
      <c r="E53" s="394"/>
      <c r="F53" s="394"/>
      <c r="G53" s="394">
        <f t="shared" si="15"/>
        <v>427514</v>
      </c>
    </row>
    <row r="54" spans="1:7">
      <c r="A54" s="402"/>
      <c r="B54" s="403" t="s">
        <v>783</v>
      </c>
      <c r="C54" s="394">
        <v>46671171</v>
      </c>
      <c r="D54" s="394">
        <v>15760727</v>
      </c>
      <c r="E54" s="394"/>
      <c r="F54" s="394"/>
      <c r="G54" s="394">
        <f t="shared" si="15"/>
        <v>15760727</v>
      </c>
    </row>
    <row r="55" spans="1:7">
      <c r="A55" s="404" t="s">
        <v>788</v>
      </c>
      <c r="B55" s="403"/>
      <c r="C55" s="405"/>
      <c r="D55" s="405"/>
      <c r="E55" s="405"/>
      <c r="F55" s="405"/>
      <c r="G55" s="405">
        <f t="shared" si="15"/>
        <v>0</v>
      </c>
    </row>
    <row r="56" spans="1:7">
      <c r="A56" s="404" t="s">
        <v>789</v>
      </c>
      <c r="B56" s="401"/>
      <c r="C56" s="406"/>
      <c r="D56" s="406"/>
      <c r="E56" s="406"/>
      <c r="F56" s="406"/>
      <c r="G56" s="406">
        <f t="shared" si="15"/>
        <v>0</v>
      </c>
    </row>
    <row r="57" spans="1:7">
      <c r="A57" s="404" t="s">
        <v>614</v>
      </c>
      <c r="B57" s="401"/>
      <c r="C57" s="406"/>
      <c r="D57" s="406"/>
      <c r="E57" s="406"/>
      <c r="F57" s="406"/>
      <c r="G57" s="406">
        <f t="shared" si="15"/>
        <v>0</v>
      </c>
    </row>
    <row r="58" spans="1:7">
      <c r="A58" s="404" t="s">
        <v>615</v>
      </c>
      <c r="B58" s="401"/>
      <c r="C58" s="406"/>
      <c r="D58" s="406"/>
      <c r="E58" s="406"/>
      <c r="F58" s="406"/>
      <c r="G58" s="406">
        <f t="shared" si="15"/>
        <v>0</v>
      </c>
    </row>
    <row r="59" spans="1:7">
      <c r="A59" s="378" t="s">
        <v>790</v>
      </c>
      <c r="B59" s="393" t="s">
        <v>777</v>
      </c>
      <c r="C59" s="522">
        <f>C60+C61</f>
        <v>4580455</v>
      </c>
      <c r="D59" s="394">
        <f t="shared" ref="D59" si="32">D60+D61</f>
        <v>1944000</v>
      </c>
      <c r="E59" s="394"/>
      <c r="F59" s="394"/>
      <c r="G59" s="394">
        <f t="shared" si="15"/>
        <v>1944000</v>
      </c>
    </row>
    <row r="60" spans="1:7">
      <c r="A60" s="398" t="s">
        <v>778</v>
      </c>
      <c r="B60" s="401" t="s">
        <v>779</v>
      </c>
      <c r="C60" s="522">
        <v>690664</v>
      </c>
      <c r="D60" s="394">
        <v>291600</v>
      </c>
      <c r="E60" s="394"/>
      <c r="F60" s="394"/>
      <c r="G60" s="394">
        <f t="shared" si="15"/>
        <v>291600</v>
      </c>
    </row>
    <row r="61" spans="1:7">
      <c r="A61" s="402"/>
      <c r="B61" s="403" t="s">
        <v>783</v>
      </c>
      <c r="C61" s="522">
        <v>3889791</v>
      </c>
      <c r="D61" s="394">
        <v>1652400</v>
      </c>
      <c r="E61" s="394"/>
      <c r="F61" s="394"/>
      <c r="G61" s="394">
        <f t="shared" si="15"/>
        <v>1652400</v>
      </c>
    </row>
    <row r="62" spans="1:7">
      <c r="A62" s="404" t="s">
        <v>791</v>
      </c>
      <c r="B62" s="403"/>
      <c r="C62" s="405"/>
      <c r="D62" s="405"/>
      <c r="E62" s="405"/>
      <c r="F62" s="405"/>
      <c r="G62" s="405">
        <f t="shared" si="15"/>
        <v>0</v>
      </c>
    </row>
    <row r="63" spans="1:7">
      <c r="A63" s="404" t="s">
        <v>792</v>
      </c>
      <c r="B63" s="401"/>
      <c r="C63" s="406"/>
      <c r="D63" s="406"/>
      <c r="E63" s="406"/>
      <c r="F63" s="406"/>
      <c r="G63" s="406">
        <f t="shared" si="15"/>
        <v>0</v>
      </c>
    </row>
    <row r="64" spans="1:7">
      <c r="A64" s="404" t="s">
        <v>793</v>
      </c>
      <c r="B64" s="401"/>
      <c r="C64" s="406"/>
      <c r="D64" s="406"/>
      <c r="E64" s="406"/>
      <c r="F64" s="406"/>
      <c r="G64" s="406">
        <f t="shared" si="15"/>
        <v>0</v>
      </c>
    </row>
    <row r="65" spans="1:7" ht="22.5">
      <c r="A65" s="404" t="s">
        <v>794</v>
      </c>
      <c r="B65" s="401"/>
      <c r="C65" s="406"/>
      <c r="D65" s="406"/>
      <c r="E65" s="372"/>
      <c r="F65" s="372"/>
      <c r="G65" s="372">
        <f t="shared" si="15"/>
        <v>0</v>
      </c>
    </row>
    <row r="66" spans="1:7">
      <c r="A66" s="387" t="s">
        <v>704</v>
      </c>
      <c r="B66" s="388" t="s">
        <v>777</v>
      </c>
      <c r="C66" s="389">
        <f t="shared" ref="C66:D66" si="33">C67+C68</f>
        <v>147580</v>
      </c>
      <c r="D66" s="389">
        <f t="shared" si="33"/>
        <v>0</v>
      </c>
      <c r="E66" s="389">
        <f>E67+E68</f>
        <v>147580</v>
      </c>
      <c r="F66" s="389"/>
      <c r="G66" s="389">
        <f t="shared" si="15"/>
        <v>147580</v>
      </c>
    </row>
    <row r="67" spans="1:7">
      <c r="A67" s="407" t="s">
        <v>778</v>
      </c>
      <c r="B67" s="408" t="s">
        <v>779</v>
      </c>
      <c r="C67" s="394">
        <f t="shared" ref="C67:E68" si="34">C70</f>
        <v>39841</v>
      </c>
      <c r="D67" s="394">
        <f t="shared" si="34"/>
        <v>0</v>
      </c>
      <c r="E67" s="394">
        <f t="shared" si="34"/>
        <v>39841</v>
      </c>
      <c r="F67" s="394"/>
      <c r="G67" s="394">
        <f t="shared" si="15"/>
        <v>39841</v>
      </c>
    </row>
    <row r="68" spans="1:7">
      <c r="A68" s="409"/>
      <c r="B68" s="410" t="s">
        <v>783</v>
      </c>
      <c r="C68" s="394">
        <f t="shared" si="34"/>
        <v>107739</v>
      </c>
      <c r="D68" s="394">
        <f t="shared" si="34"/>
        <v>0</v>
      </c>
      <c r="E68" s="394">
        <f t="shared" si="34"/>
        <v>107739</v>
      </c>
      <c r="F68" s="394"/>
      <c r="G68" s="394">
        <f t="shared" si="15"/>
        <v>107739</v>
      </c>
    </row>
    <row r="69" spans="1:7">
      <c r="A69" s="390" t="s">
        <v>738</v>
      </c>
      <c r="B69" s="385" t="s">
        <v>777</v>
      </c>
      <c r="C69" s="523">
        <f>C70+C71</f>
        <v>147580</v>
      </c>
      <c r="D69" s="386"/>
      <c r="E69" s="386">
        <f>E70+E71</f>
        <v>147580</v>
      </c>
      <c r="F69" s="386"/>
      <c r="G69" s="386">
        <f t="shared" si="15"/>
        <v>147580</v>
      </c>
    </row>
    <row r="70" spans="1:7">
      <c r="A70" s="411" t="s">
        <v>778</v>
      </c>
      <c r="B70" s="408" t="s">
        <v>779</v>
      </c>
      <c r="C70" s="524">
        <v>39841</v>
      </c>
      <c r="D70" s="412"/>
      <c r="E70" s="412">
        <v>39841</v>
      </c>
      <c r="F70" s="412"/>
      <c r="G70" s="412">
        <f t="shared" si="15"/>
        <v>39841</v>
      </c>
    </row>
    <row r="71" spans="1:7">
      <c r="A71" s="413"/>
      <c r="B71" s="410" t="s">
        <v>783</v>
      </c>
      <c r="C71" s="525">
        <v>107739</v>
      </c>
      <c r="D71" s="414"/>
      <c r="E71" s="414">
        <v>107739</v>
      </c>
      <c r="F71" s="414"/>
      <c r="G71" s="414">
        <f t="shared" si="15"/>
        <v>107739</v>
      </c>
    </row>
    <row r="72" spans="1:7" ht="12.75" customHeight="1">
      <c r="A72" s="535" t="s">
        <v>795</v>
      </c>
      <c r="B72" s="536"/>
      <c r="C72" s="536"/>
      <c r="D72" s="537"/>
      <c r="E72" s="415"/>
      <c r="F72" s="415"/>
      <c r="G72" s="415">
        <f t="shared" si="15"/>
        <v>0</v>
      </c>
    </row>
    <row r="73" spans="1:7" ht="12.75" customHeight="1">
      <c r="A73" s="381" t="s">
        <v>796</v>
      </c>
      <c r="B73" s="382" t="s">
        <v>777</v>
      </c>
      <c r="C73" s="415">
        <f>C74+C76+C77+C75</f>
        <v>105353478</v>
      </c>
      <c r="D73" s="415">
        <f>D74+D76+D77</f>
        <v>56273412</v>
      </c>
      <c r="E73" s="415">
        <f>E74+E76+E77+E75</f>
        <v>3736391</v>
      </c>
      <c r="F73" s="415">
        <f>F74+F76+F77+F75</f>
        <v>-1247150</v>
      </c>
      <c r="G73" s="415">
        <f t="shared" si="15"/>
        <v>58762653</v>
      </c>
    </row>
    <row r="74" spans="1:7">
      <c r="A74" s="384" t="s">
        <v>778</v>
      </c>
      <c r="B74" s="416" t="s">
        <v>779</v>
      </c>
      <c r="C74" s="386">
        <f>C79+C113+C137+C154+C164+C171+C176+C181+C205+C247+C249+C255+C203</f>
        <v>100862117</v>
      </c>
      <c r="D74" s="386">
        <f>D79+D113+D137+D154+D164+D171+D176+D181+D205+D247+D249+D255</f>
        <v>52965432</v>
      </c>
      <c r="E74" s="386">
        <f>E79+E113+E137+E154+E164+E171+E176+E181+E205+E247+E249+E255+E203</f>
        <v>3096107</v>
      </c>
      <c r="F74" s="386">
        <f>F79+F113+F137+F154+F164+F171+F176+F181+F205+F247+F249+F255+F203</f>
        <v>-1247150</v>
      </c>
      <c r="G74" s="386">
        <f t="shared" si="15"/>
        <v>54814389</v>
      </c>
    </row>
    <row r="75" spans="1:7">
      <c r="A75" s="375"/>
      <c r="B75" s="416" t="s">
        <v>780</v>
      </c>
      <c r="C75" s="386">
        <f t="shared" ref="C75:D75" si="35">C166</f>
        <v>56033</v>
      </c>
      <c r="D75" s="386">
        <f t="shared" si="35"/>
        <v>0</v>
      </c>
      <c r="E75" s="386">
        <f>E166</f>
        <v>56033</v>
      </c>
      <c r="F75" s="386">
        <f>F166</f>
        <v>0</v>
      </c>
      <c r="G75" s="386">
        <f t="shared" si="15"/>
        <v>56033</v>
      </c>
    </row>
    <row r="76" spans="1:7">
      <c r="A76" s="375"/>
      <c r="B76" s="416" t="s">
        <v>781</v>
      </c>
      <c r="C76" s="386">
        <f>C81</f>
        <v>85000</v>
      </c>
      <c r="D76" s="386">
        <f t="shared" ref="D76:E76" si="36">D81</f>
        <v>85000</v>
      </c>
      <c r="E76" s="386">
        <f t="shared" si="36"/>
        <v>0</v>
      </c>
      <c r="F76" s="386">
        <f t="shared" ref="F76" si="37">F81</f>
        <v>0</v>
      </c>
      <c r="G76" s="386">
        <f t="shared" si="15"/>
        <v>85000</v>
      </c>
    </row>
    <row r="77" spans="1:7">
      <c r="A77" s="378"/>
      <c r="B77" s="416" t="s">
        <v>782</v>
      </c>
      <c r="C77" s="386">
        <f>C114+C165+C182+C206</f>
        <v>4350328</v>
      </c>
      <c r="D77" s="386">
        <f>D114+D166+D182+D206</f>
        <v>3222980</v>
      </c>
      <c r="E77" s="386">
        <f>E114+E182+E206</f>
        <v>584251</v>
      </c>
      <c r="F77" s="386">
        <f>F114+F182+F206</f>
        <v>0</v>
      </c>
      <c r="G77" s="386">
        <f t="shared" si="15"/>
        <v>3807231</v>
      </c>
    </row>
    <row r="78" spans="1:7">
      <c r="A78" s="387" t="s">
        <v>640</v>
      </c>
      <c r="B78" s="388" t="s">
        <v>777</v>
      </c>
      <c r="C78" s="389">
        <f>C79+C81</f>
        <v>26131000</v>
      </c>
      <c r="D78" s="389">
        <f t="shared" ref="D78:E78" si="38">D79+D81</f>
        <v>12251000</v>
      </c>
      <c r="E78" s="389">
        <f t="shared" si="38"/>
        <v>1370000</v>
      </c>
      <c r="F78" s="389">
        <f t="shared" ref="F78" si="39">F79+F81</f>
        <v>6000</v>
      </c>
      <c r="G78" s="389">
        <f t="shared" si="15"/>
        <v>13627000</v>
      </c>
    </row>
    <row r="79" spans="1:7">
      <c r="A79" s="407" t="s">
        <v>778</v>
      </c>
      <c r="B79" s="385" t="s">
        <v>779</v>
      </c>
      <c r="C79" s="394">
        <f>C83+C95+C107</f>
        <v>26046000</v>
      </c>
      <c r="D79" s="394">
        <f>D83+D95+D107</f>
        <v>12166000</v>
      </c>
      <c r="E79" s="394">
        <f>E83+E95+E107</f>
        <v>1370000</v>
      </c>
      <c r="F79" s="394">
        <f>F83+F95+F107</f>
        <v>6000</v>
      </c>
      <c r="G79" s="394">
        <f t="shared" si="15"/>
        <v>13542000</v>
      </c>
    </row>
    <row r="80" spans="1:7">
      <c r="A80" s="417"/>
      <c r="B80" s="393" t="s">
        <v>782</v>
      </c>
      <c r="C80" s="394"/>
      <c r="D80" s="394"/>
      <c r="E80" s="394"/>
      <c r="F80" s="394"/>
      <c r="G80" s="394">
        <f t="shared" si="15"/>
        <v>0</v>
      </c>
    </row>
    <row r="81" spans="1:7">
      <c r="A81" s="409"/>
      <c r="B81" s="393" t="s">
        <v>781</v>
      </c>
      <c r="C81" s="394">
        <f>C85</f>
        <v>85000</v>
      </c>
      <c r="D81" s="394">
        <f t="shared" ref="D81" si="40">D85</f>
        <v>85000</v>
      </c>
      <c r="E81" s="394"/>
      <c r="F81" s="394"/>
      <c r="G81" s="394">
        <f t="shared" si="15"/>
        <v>85000</v>
      </c>
    </row>
    <row r="82" spans="1:7">
      <c r="A82" s="418" t="s">
        <v>797</v>
      </c>
      <c r="B82" s="419" t="s">
        <v>777</v>
      </c>
      <c r="C82" s="420">
        <f>C83+C85</f>
        <v>16010000</v>
      </c>
      <c r="D82" s="420">
        <f t="shared" ref="D82" si="41">D83+D85</f>
        <v>9780000</v>
      </c>
      <c r="E82" s="420">
        <v>870000</v>
      </c>
      <c r="F82" s="420">
        <f>F83</f>
        <v>6000</v>
      </c>
      <c r="G82" s="420">
        <f t="shared" si="15"/>
        <v>10656000</v>
      </c>
    </row>
    <row r="83" spans="1:7">
      <c r="A83" s="407" t="s">
        <v>778</v>
      </c>
      <c r="B83" s="385" t="s">
        <v>779</v>
      </c>
      <c r="C83" s="394">
        <v>15925000</v>
      </c>
      <c r="D83" s="394">
        <v>9695000</v>
      </c>
      <c r="E83" s="394">
        <v>870000</v>
      </c>
      <c r="F83" s="394">
        <v>6000</v>
      </c>
      <c r="G83" s="394">
        <f t="shared" si="15"/>
        <v>10571000</v>
      </c>
    </row>
    <row r="84" spans="1:7">
      <c r="A84" s="417"/>
      <c r="B84" s="393" t="s">
        <v>782</v>
      </c>
      <c r="C84" s="394"/>
      <c r="D84" s="394"/>
      <c r="E84" s="394"/>
      <c r="F84" s="394"/>
      <c r="G84" s="394">
        <f t="shared" si="15"/>
        <v>0</v>
      </c>
    </row>
    <row r="85" spans="1:7">
      <c r="A85" s="409"/>
      <c r="B85" s="393" t="s">
        <v>798</v>
      </c>
      <c r="C85" s="394">
        <v>85000</v>
      </c>
      <c r="D85" s="394">
        <v>85000</v>
      </c>
      <c r="E85" s="394"/>
      <c r="F85" s="394"/>
      <c r="G85" s="394">
        <f t="shared" si="15"/>
        <v>85000</v>
      </c>
    </row>
    <row r="86" spans="1:7" ht="12.75" customHeight="1">
      <c r="A86" s="421" t="s">
        <v>799</v>
      </c>
      <c r="B86" s="401"/>
      <c r="C86" s="406"/>
      <c r="D86" s="406"/>
      <c r="E86" s="406"/>
      <c r="F86" s="406"/>
      <c r="G86" s="406">
        <f t="shared" ref="G86:G149" si="42">SUM(D86:F86)</f>
        <v>0</v>
      </c>
    </row>
    <row r="87" spans="1:7">
      <c r="A87" s="422" t="s">
        <v>800</v>
      </c>
      <c r="B87" s="401"/>
      <c r="C87" s="406"/>
      <c r="D87" s="406"/>
      <c r="E87" s="406"/>
      <c r="F87" s="406"/>
      <c r="G87" s="406">
        <f t="shared" si="42"/>
        <v>0</v>
      </c>
    </row>
    <row r="88" spans="1:7" ht="22.5">
      <c r="A88" s="422" t="s">
        <v>801</v>
      </c>
      <c r="B88" s="401"/>
      <c r="C88" s="406"/>
      <c r="D88" s="406"/>
      <c r="E88" s="406"/>
      <c r="F88" s="406"/>
      <c r="G88" s="406">
        <f t="shared" si="42"/>
        <v>0</v>
      </c>
    </row>
    <row r="89" spans="1:7" ht="22.5">
      <c r="A89" s="422" t="s">
        <v>802</v>
      </c>
      <c r="B89" s="401" t="s">
        <v>782</v>
      </c>
      <c r="C89" s="406"/>
      <c r="D89" s="406"/>
      <c r="E89" s="406"/>
      <c r="F89" s="406"/>
      <c r="G89" s="406">
        <f t="shared" si="42"/>
        <v>0</v>
      </c>
    </row>
    <row r="90" spans="1:7" ht="22.5">
      <c r="A90" s="422" t="s">
        <v>803</v>
      </c>
      <c r="B90" s="401" t="s">
        <v>782</v>
      </c>
      <c r="C90" s="406"/>
      <c r="D90" s="406"/>
      <c r="E90" s="406"/>
      <c r="F90" s="406"/>
      <c r="G90" s="406">
        <f t="shared" si="42"/>
        <v>0</v>
      </c>
    </row>
    <row r="91" spans="1:7" ht="22.5">
      <c r="A91" s="422" t="s">
        <v>804</v>
      </c>
      <c r="B91" s="401"/>
      <c r="C91" s="406"/>
      <c r="D91" s="406"/>
      <c r="E91" s="406"/>
      <c r="F91" s="406"/>
      <c r="G91" s="406">
        <f t="shared" si="42"/>
        <v>0</v>
      </c>
    </row>
    <row r="92" spans="1:7">
      <c r="A92" s="422" t="s">
        <v>805</v>
      </c>
      <c r="B92" s="401"/>
      <c r="C92" s="406"/>
      <c r="D92" s="406"/>
      <c r="E92" s="406"/>
      <c r="F92" s="406"/>
      <c r="G92" s="406">
        <f t="shared" si="42"/>
        <v>0</v>
      </c>
    </row>
    <row r="93" spans="1:7">
      <c r="A93" s="422" t="s">
        <v>806</v>
      </c>
      <c r="B93" s="401"/>
      <c r="C93" s="406"/>
      <c r="D93" s="406"/>
      <c r="E93" s="406"/>
      <c r="F93" s="406"/>
      <c r="G93" s="406">
        <f t="shared" si="42"/>
        <v>0</v>
      </c>
    </row>
    <row r="94" spans="1:7">
      <c r="A94" s="423" t="s">
        <v>807</v>
      </c>
      <c r="B94" s="401"/>
      <c r="C94" s="406"/>
      <c r="D94" s="406"/>
      <c r="E94" s="406"/>
      <c r="F94" s="406"/>
      <c r="G94" s="406">
        <f t="shared" si="42"/>
        <v>0</v>
      </c>
    </row>
    <row r="95" spans="1:7" ht="25.5">
      <c r="A95" s="424" t="s">
        <v>808</v>
      </c>
      <c r="B95" s="419" t="s">
        <v>777</v>
      </c>
      <c r="C95" s="420">
        <v>7200000</v>
      </c>
      <c r="D95" s="420">
        <v>2000000</v>
      </c>
      <c r="E95" s="420">
        <v>400000</v>
      </c>
      <c r="F95" s="420"/>
      <c r="G95" s="420">
        <f t="shared" si="42"/>
        <v>2400000</v>
      </c>
    </row>
    <row r="96" spans="1:7" ht="12.75" customHeight="1">
      <c r="A96" s="407" t="s">
        <v>778</v>
      </c>
      <c r="B96" s="385" t="s">
        <v>779</v>
      </c>
      <c r="C96" s="394"/>
      <c r="D96" s="394"/>
      <c r="E96" s="394">
        <v>400000</v>
      </c>
      <c r="F96" s="394"/>
      <c r="G96" s="394">
        <f t="shared" si="42"/>
        <v>400000</v>
      </c>
    </row>
    <row r="97" spans="1:7">
      <c r="A97" s="417"/>
      <c r="B97" s="396" t="s">
        <v>782</v>
      </c>
      <c r="C97" s="394"/>
      <c r="D97" s="394"/>
      <c r="E97" s="394"/>
      <c r="F97" s="394"/>
      <c r="G97" s="394">
        <f t="shared" si="42"/>
        <v>0</v>
      </c>
    </row>
    <row r="98" spans="1:7">
      <c r="A98" s="422" t="s">
        <v>809</v>
      </c>
      <c r="B98" s="401" t="s">
        <v>782</v>
      </c>
      <c r="C98" s="425"/>
      <c r="D98" s="425"/>
      <c r="E98" s="425"/>
      <c r="F98" s="425"/>
      <c r="G98" s="425">
        <f t="shared" si="42"/>
        <v>0</v>
      </c>
    </row>
    <row r="99" spans="1:7">
      <c r="A99" s="426" t="s">
        <v>810</v>
      </c>
      <c r="B99" s="401" t="s">
        <v>782</v>
      </c>
      <c r="C99" s="425"/>
      <c r="D99" s="425"/>
      <c r="E99" s="425"/>
      <c r="F99" s="425"/>
      <c r="G99" s="425">
        <f t="shared" si="42"/>
        <v>0</v>
      </c>
    </row>
    <row r="100" spans="1:7">
      <c r="A100" s="426" t="s">
        <v>811</v>
      </c>
      <c r="B100" s="401" t="s">
        <v>782</v>
      </c>
      <c r="C100" s="425"/>
      <c r="D100" s="425"/>
      <c r="E100" s="425"/>
      <c r="F100" s="425"/>
      <c r="G100" s="425">
        <f t="shared" si="42"/>
        <v>0</v>
      </c>
    </row>
    <row r="101" spans="1:7">
      <c r="A101" s="426" t="s">
        <v>812</v>
      </c>
      <c r="B101" s="401" t="s">
        <v>782</v>
      </c>
      <c r="C101" s="425"/>
      <c r="D101" s="425"/>
      <c r="E101" s="425"/>
      <c r="F101" s="425"/>
      <c r="G101" s="425">
        <f t="shared" si="42"/>
        <v>0</v>
      </c>
    </row>
    <row r="102" spans="1:7">
      <c r="A102" s="426" t="s">
        <v>813</v>
      </c>
      <c r="B102" s="401" t="s">
        <v>782</v>
      </c>
      <c r="C102" s="425"/>
      <c r="D102" s="425"/>
      <c r="E102" s="425"/>
      <c r="F102" s="425"/>
      <c r="G102" s="425">
        <f t="shared" si="42"/>
        <v>0</v>
      </c>
    </row>
    <row r="103" spans="1:7">
      <c r="A103" s="426" t="s">
        <v>814</v>
      </c>
      <c r="B103" s="401" t="s">
        <v>779</v>
      </c>
      <c r="C103" s="425"/>
      <c r="D103" s="425"/>
      <c r="E103" s="425"/>
      <c r="F103" s="425"/>
      <c r="G103" s="425">
        <f t="shared" si="42"/>
        <v>0</v>
      </c>
    </row>
    <row r="104" spans="1:7" ht="22.5">
      <c r="A104" s="426" t="s">
        <v>815</v>
      </c>
      <c r="B104" s="401" t="s">
        <v>779</v>
      </c>
      <c r="C104" s="425"/>
      <c r="D104" s="425"/>
      <c r="E104" s="425"/>
      <c r="F104" s="425"/>
      <c r="G104" s="425">
        <f t="shared" si="42"/>
        <v>0</v>
      </c>
    </row>
    <row r="105" spans="1:7">
      <c r="A105" s="427" t="s">
        <v>816</v>
      </c>
      <c r="B105" s="401" t="s">
        <v>779</v>
      </c>
      <c r="C105" s="406"/>
      <c r="D105" s="406"/>
      <c r="E105" s="406"/>
      <c r="F105" s="406"/>
      <c r="G105" s="406">
        <f t="shared" si="42"/>
        <v>0</v>
      </c>
    </row>
    <row r="106" spans="1:7">
      <c r="A106" s="428" t="s">
        <v>817</v>
      </c>
      <c r="B106" s="401"/>
      <c r="C106" s="425"/>
      <c r="D106" s="425"/>
      <c r="E106" s="425"/>
      <c r="F106" s="425"/>
      <c r="G106" s="425">
        <f t="shared" si="42"/>
        <v>0</v>
      </c>
    </row>
    <row r="107" spans="1:7">
      <c r="A107" s="418" t="s">
        <v>818</v>
      </c>
      <c r="B107" s="429" t="s">
        <v>777</v>
      </c>
      <c r="C107" s="430">
        <v>2921000</v>
      </c>
      <c r="D107" s="430">
        <v>471000</v>
      </c>
      <c r="E107" s="430">
        <v>100000</v>
      </c>
      <c r="F107" s="430"/>
      <c r="G107" s="430">
        <f t="shared" si="42"/>
        <v>571000</v>
      </c>
    </row>
    <row r="108" spans="1:7" ht="22.5">
      <c r="A108" s="427" t="s">
        <v>819</v>
      </c>
      <c r="B108" s="431" t="s">
        <v>779</v>
      </c>
      <c r="C108" s="432"/>
      <c r="D108" s="432"/>
      <c r="E108" s="432"/>
      <c r="F108" s="432"/>
      <c r="G108" s="432">
        <f t="shared" si="42"/>
        <v>0</v>
      </c>
    </row>
    <row r="109" spans="1:7" ht="22.5">
      <c r="A109" s="427" t="s">
        <v>820</v>
      </c>
      <c r="B109" s="431" t="s">
        <v>779</v>
      </c>
      <c r="C109" s="432"/>
      <c r="D109" s="432"/>
      <c r="E109" s="432"/>
      <c r="F109" s="432"/>
      <c r="G109" s="432">
        <f t="shared" si="42"/>
        <v>0</v>
      </c>
    </row>
    <row r="110" spans="1:7">
      <c r="A110" s="427" t="s">
        <v>821</v>
      </c>
      <c r="B110" s="431" t="s">
        <v>779</v>
      </c>
      <c r="C110" s="432"/>
      <c r="D110" s="432"/>
      <c r="E110" s="432"/>
      <c r="F110" s="432"/>
      <c r="G110" s="432">
        <f t="shared" si="42"/>
        <v>0</v>
      </c>
    </row>
    <row r="111" spans="1:7">
      <c r="A111" s="418" t="s">
        <v>822</v>
      </c>
      <c r="B111" s="429" t="s">
        <v>779</v>
      </c>
      <c r="C111" s="430"/>
      <c r="D111" s="430"/>
      <c r="E111" s="430"/>
      <c r="F111" s="430"/>
      <c r="G111" s="430">
        <f t="shared" si="42"/>
        <v>0</v>
      </c>
    </row>
    <row r="112" spans="1:7">
      <c r="A112" s="387" t="s">
        <v>641</v>
      </c>
      <c r="B112" s="388" t="s">
        <v>777</v>
      </c>
      <c r="C112" s="389">
        <f>C113+C114</f>
        <v>7649231</v>
      </c>
      <c r="D112" s="389">
        <f t="shared" ref="D112" si="43">D113+D114</f>
        <v>2879311</v>
      </c>
      <c r="E112" s="389">
        <f>E113+E114</f>
        <v>364295</v>
      </c>
      <c r="F112" s="389">
        <f>F113+F114</f>
        <v>101450</v>
      </c>
      <c r="G112" s="389">
        <f t="shared" si="42"/>
        <v>3345056</v>
      </c>
    </row>
    <row r="113" spans="1:7">
      <c r="A113" s="407" t="s">
        <v>778</v>
      </c>
      <c r="B113" s="385" t="s">
        <v>779</v>
      </c>
      <c r="C113" s="394">
        <f>C115+C116+C122+C134+C135+C136+C118+C127+C128+C129+C133+C132+C125+C120</f>
        <v>7264738</v>
      </c>
      <c r="D113" s="394">
        <f>D115+D116+D122+D134+D135+D136+D118</f>
        <v>2539200</v>
      </c>
      <c r="E113" s="394">
        <f>E115+E116+E122+E134+E135+E136+E118+E128+E129+E130+E133+E131+E125+E127</f>
        <v>334913</v>
      </c>
      <c r="F113" s="394">
        <f>F115+F116+F122+F134+F135+F136+F118+F128+F129+F130+F133+F131+F125+F127+F120+F132</f>
        <v>101450</v>
      </c>
      <c r="G113" s="394">
        <f t="shared" si="42"/>
        <v>2975563</v>
      </c>
    </row>
    <row r="114" spans="1:7">
      <c r="A114" s="409"/>
      <c r="B114" s="393" t="s">
        <v>782</v>
      </c>
      <c r="C114" s="394">
        <f>C123+C119+C126</f>
        <v>384493</v>
      </c>
      <c r="D114" s="394">
        <f>D123+D119</f>
        <v>340111</v>
      </c>
      <c r="E114" s="394">
        <f>E123+E119+E126</f>
        <v>29382</v>
      </c>
      <c r="F114" s="394">
        <f>F123+F119+F126</f>
        <v>0</v>
      </c>
      <c r="G114" s="394">
        <f t="shared" si="42"/>
        <v>369493</v>
      </c>
    </row>
    <row r="115" spans="1:7">
      <c r="A115" s="433" t="s">
        <v>823</v>
      </c>
      <c r="B115" s="385" t="s">
        <v>779</v>
      </c>
      <c r="C115" s="386">
        <v>663700</v>
      </c>
      <c r="D115" s="386">
        <v>469200</v>
      </c>
      <c r="E115" s="386"/>
      <c r="F115" s="386"/>
      <c r="G115" s="386">
        <f t="shared" si="42"/>
        <v>469200</v>
      </c>
    </row>
    <row r="116" spans="1:7">
      <c r="A116" s="433" t="s">
        <v>824</v>
      </c>
      <c r="B116" s="385" t="s">
        <v>779</v>
      </c>
      <c r="C116" s="386">
        <v>250000</v>
      </c>
      <c r="D116" s="386">
        <v>250000</v>
      </c>
      <c r="E116" s="386"/>
      <c r="F116" s="386"/>
      <c r="G116" s="386">
        <f t="shared" si="42"/>
        <v>250000</v>
      </c>
    </row>
    <row r="117" spans="1:7" ht="25.5">
      <c r="A117" s="433" t="s">
        <v>825</v>
      </c>
      <c r="B117" s="385" t="s">
        <v>777</v>
      </c>
      <c r="C117" s="386">
        <f>C118+C119</f>
        <v>2515000</v>
      </c>
      <c r="D117" s="386">
        <f t="shared" ref="D117" si="44">D118+D119</f>
        <v>1250000</v>
      </c>
      <c r="E117" s="386">
        <f>E118+E119</f>
        <v>30450</v>
      </c>
      <c r="F117" s="386"/>
      <c r="G117" s="386">
        <f t="shared" si="42"/>
        <v>1280450</v>
      </c>
    </row>
    <row r="118" spans="1:7">
      <c r="A118" s="384" t="s">
        <v>778</v>
      </c>
      <c r="B118" s="391" t="s">
        <v>779</v>
      </c>
      <c r="C118" s="392">
        <v>2500000</v>
      </c>
      <c r="D118" s="392">
        <v>1250000</v>
      </c>
      <c r="E118" s="392">
        <v>30450</v>
      </c>
      <c r="F118" s="392"/>
      <c r="G118" s="392">
        <f t="shared" si="42"/>
        <v>1280450</v>
      </c>
    </row>
    <row r="119" spans="1:7">
      <c r="A119" s="378"/>
      <c r="B119" s="393" t="s">
        <v>782</v>
      </c>
      <c r="C119" s="394">
        <v>15000</v>
      </c>
      <c r="D119" s="394"/>
      <c r="E119" s="394"/>
      <c r="F119" s="394"/>
      <c r="G119" s="394">
        <f t="shared" si="42"/>
        <v>0</v>
      </c>
    </row>
    <row r="120" spans="1:7">
      <c r="A120" s="378" t="s">
        <v>1070</v>
      </c>
      <c r="B120" s="393" t="s">
        <v>779</v>
      </c>
      <c r="C120" s="394">
        <v>72450</v>
      </c>
      <c r="D120" s="394"/>
      <c r="E120" s="394"/>
      <c r="F120" s="394">
        <v>72450</v>
      </c>
      <c r="G120" s="394">
        <f t="shared" si="42"/>
        <v>72450</v>
      </c>
    </row>
    <row r="121" spans="1:7">
      <c r="A121" s="433" t="s">
        <v>826</v>
      </c>
      <c r="B121" s="385" t="s">
        <v>777</v>
      </c>
      <c r="C121" s="386">
        <f>C122+C123</f>
        <v>603582</v>
      </c>
      <c r="D121" s="386">
        <f t="shared" ref="D121" si="45">D122+D123</f>
        <v>580111</v>
      </c>
      <c r="E121" s="386">
        <f>E122+E123</f>
        <v>20471</v>
      </c>
      <c r="F121" s="386">
        <f>F122+F123</f>
        <v>3000</v>
      </c>
      <c r="G121" s="386">
        <f t="shared" si="42"/>
        <v>603582</v>
      </c>
    </row>
    <row r="122" spans="1:7">
      <c r="A122" s="384" t="s">
        <v>778</v>
      </c>
      <c r="B122" s="391" t="s">
        <v>779</v>
      </c>
      <c r="C122" s="526">
        <v>251000</v>
      </c>
      <c r="D122" s="392">
        <v>240000</v>
      </c>
      <c r="E122" s="392">
        <v>8000</v>
      </c>
      <c r="F122" s="392">
        <v>3000</v>
      </c>
      <c r="G122" s="392">
        <f t="shared" si="42"/>
        <v>251000</v>
      </c>
    </row>
    <row r="123" spans="1:7">
      <c r="A123" s="435"/>
      <c r="B123" s="393" t="s">
        <v>782</v>
      </c>
      <c r="C123" s="522">
        <f>340111+12471</f>
        <v>352582</v>
      </c>
      <c r="D123" s="394">
        <v>340111</v>
      </c>
      <c r="E123" s="394">
        <v>12471</v>
      </c>
      <c r="F123" s="394"/>
      <c r="G123" s="394">
        <f t="shared" si="42"/>
        <v>352582</v>
      </c>
    </row>
    <row r="124" spans="1:7">
      <c r="A124" s="433" t="s">
        <v>827</v>
      </c>
      <c r="B124" s="385" t="s">
        <v>777</v>
      </c>
      <c r="C124" s="386">
        <f>C125+C126</f>
        <v>18798</v>
      </c>
      <c r="D124" s="394"/>
      <c r="E124" s="386">
        <f t="shared" ref="E124" si="46">E125+E126</f>
        <v>18798</v>
      </c>
      <c r="F124" s="394"/>
      <c r="G124" s="394">
        <f t="shared" si="42"/>
        <v>18798</v>
      </c>
    </row>
    <row r="125" spans="1:7">
      <c r="A125" s="384" t="s">
        <v>778</v>
      </c>
      <c r="B125" s="391" t="s">
        <v>779</v>
      </c>
      <c r="C125" s="392">
        <v>1887</v>
      </c>
      <c r="D125" s="392"/>
      <c r="E125" s="392">
        <v>1887</v>
      </c>
      <c r="F125" s="397"/>
      <c r="G125" s="394">
        <f t="shared" si="42"/>
        <v>1887</v>
      </c>
    </row>
    <row r="126" spans="1:7">
      <c r="A126" s="435"/>
      <c r="B126" s="393" t="s">
        <v>782</v>
      </c>
      <c r="C126" s="394">
        <v>16911</v>
      </c>
      <c r="D126" s="394"/>
      <c r="E126" s="394">
        <v>16911</v>
      </c>
      <c r="F126" s="394"/>
      <c r="G126" s="394">
        <f t="shared" si="42"/>
        <v>16911</v>
      </c>
    </row>
    <row r="127" spans="1:7">
      <c r="A127" s="433" t="s">
        <v>828</v>
      </c>
      <c r="B127" s="385" t="s">
        <v>779</v>
      </c>
      <c r="C127" s="386">
        <v>62000</v>
      </c>
      <c r="D127" s="394"/>
      <c r="E127" s="386">
        <v>62000</v>
      </c>
      <c r="F127" s="394"/>
      <c r="G127" s="394">
        <f t="shared" si="42"/>
        <v>62000</v>
      </c>
    </row>
    <row r="128" spans="1:7">
      <c r="A128" s="433" t="s">
        <v>829</v>
      </c>
      <c r="B128" s="385" t="s">
        <v>779</v>
      </c>
      <c r="C128" s="394">
        <v>3960</v>
      </c>
      <c r="D128" s="394"/>
      <c r="E128" s="386">
        <v>3960</v>
      </c>
      <c r="F128" s="394"/>
      <c r="G128" s="394">
        <f t="shared" si="42"/>
        <v>3960</v>
      </c>
    </row>
    <row r="129" spans="1:7" ht="25.5">
      <c r="A129" s="433" t="s">
        <v>830</v>
      </c>
      <c r="B129" s="385" t="s">
        <v>779</v>
      </c>
      <c r="C129" s="394">
        <v>8016</v>
      </c>
      <c r="D129" s="394"/>
      <c r="E129" s="386">
        <v>8016</v>
      </c>
      <c r="F129" s="394"/>
      <c r="G129" s="394">
        <f t="shared" si="42"/>
        <v>8016</v>
      </c>
    </row>
    <row r="130" spans="1:7">
      <c r="A130" s="436" t="s">
        <v>831</v>
      </c>
      <c r="B130" s="385" t="s">
        <v>779</v>
      </c>
      <c r="C130" s="394">
        <v>6600</v>
      </c>
      <c r="D130" s="394"/>
      <c r="E130" s="386">
        <v>6600</v>
      </c>
      <c r="F130" s="394">
        <v>-6600</v>
      </c>
      <c r="G130" s="394">
        <f t="shared" si="42"/>
        <v>0</v>
      </c>
    </row>
    <row r="131" spans="1:7">
      <c r="A131" s="436" t="s">
        <v>833</v>
      </c>
      <c r="B131" s="385" t="s">
        <v>779</v>
      </c>
      <c r="C131" s="394">
        <v>260000</v>
      </c>
      <c r="D131" s="394"/>
      <c r="E131" s="386">
        <v>130000</v>
      </c>
      <c r="F131" s="394">
        <v>-130000</v>
      </c>
      <c r="G131" s="394">
        <f t="shared" si="42"/>
        <v>0</v>
      </c>
    </row>
    <row r="132" spans="1:7" ht="25.5">
      <c r="A132" s="436" t="s">
        <v>1071</v>
      </c>
      <c r="B132" s="385" t="s">
        <v>779</v>
      </c>
      <c r="C132" s="394">
        <v>291000</v>
      </c>
      <c r="D132" s="394"/>
      <c r="E132" s="386"/>
      <c r="F132" s="394">
        <v>142600</v>
      </c>
      <c r="G132" s="394">
        <f t="shared" si="42"/>
        <v>142600</v>
      </c>
    </row>
    <row r="133" spans="1:7" ht="25.5">
      <c r="A133" s="436" t="s">
        <v>832</v>
      </c>
      <c r="B133" s="385" t="s">
        <v>779</v>
      </c>
      <c r="C133" s="394">
        <v>1000000</v>
      </c>
      <c r="D133" s="394"/>
      <c r="E133" s="386">
        <v>50000</v>
      </c>
      <c r="F133" s="394"/>
      <c r="G133" s="394">
        <f t="shared" si="42"/>
        <v>50000</v>
      </c>
    </row>
    <row r="134" spans="1:7">
      <c r="A134" s="436" t="s">
        <v>834</v>
      </c>
      <c r="B134" s="385" t="s">
        <v>779</v>
      </c>
      <c r="C134" s="386">
        <v>1890725</v>
      </c>
      <c r="D134" s="386">
        <v>60000</v>
      </c>
      <c r="E134" s="386">
        <v>9000</v>
      </c>
      <c r="F134" s="386">
        <v>20000</v>
      </c>
      <c r="G134" s="386">
        <f t="shared" si="42"/>
        <v>89000</v>
      </c>
    </row>
    <row r="135" spans="1:7">
      <c r="A135" s="433" t="s">
        <v>835</v>
      </c>
      <c r="B135" s="385" t="s">
        <v>779</v>
      </c>
      <c r="C135" s="386">
        <v>20000</v>
      </c>
      <c r="D135" s="386">
        <v>20000</v>
      </c>
      <c r="E135" s="386"/>
      <c r="F135" s="386"/>
      <c r="G135" s="386">
        <f t="shared" si="42"/>
        <v>20000</v>
      </c>
    </row>
    <row r="136" spans="1:7">
      <c r="A136" s="433" t="s">
        <v>836</v>
      </c>
      <c r="B136" s="385" t="s">
        <v>779</v>
      </c>
      <c r="C136" s="386">
        <v>250000</v>
      </c>
      <c r="D136" s="386">
        <v>250000</v>
      </c>
      <c r="E136" s="386">
        <v>25000</v>
      </c>
      <c r="F136" s="386"/>
      <c r="G136" s="386">
        <f t="shared" si="42"/>
        <v>275000</v>
      </c>
    </row>
    <row r="137" spans="1:7">
      <c r="A137" s="387" t="s">
        <v>643</v>
      </c>
      <c r="B137" s="388" t="s">
        <v>777</v>
      </c>
      <c r="C137" s="389">
        <f>SUM(C138:C153)</f>
        <v>18131422</v>
      </c>
      <c r="D137" s="389">
        <f>SUM(D138:D151)</f>
        <v>6094669</v>
      </c>
      <c r="E137" s="389">
        <f>SUM(E138:E153)-E141</f>
        <v>346753</v>
      </c>
      <c r="F137" s="389">
        <f>SUM(F138:F153)-F141-F139</f>
        <v>120000</v>
      </c>
      <c r="G137" s="389">
        <f t="shared" si="42"/>
        <v>6561422</v>
      </c>
    </row>
    <row r="138" spans="1:7">
      <c r="A138" s="433" t="s">
        <v>837</v>
      </c>
      <c r="B138" s="385" t="s">
        <v>779</v>
      </c>
      <c r="C138" s="386">
        <v>8300000</v>
      </c>
      <c r="D138" s="386">
        <v>1100000</v>
      </c>
      <c r="E138" s="386"/>
      <c r="F138" s="386">
        <v>0</v>
      </c>
      <c r="G138" s="386">
        <f t="shared" si="42"/>
        <v>1100000</v>
      </c>
    </row>
    <row r="139" spans="1:7">
      <c r="A139" s="437" t="s">
        <v>839</v>
      </c>
      <c r="B139" s="385" t="s">
        <v>779</v>
      </c>
      <c r="C139" s="438"/>
      <c r="D139" s="438"/>
      <c r="E139" s="438"/>
      <c r="F139" s="438">
        <v>635</v>
      </c>
      <c r="G139" s="438">
        <f t="shared" si="42"/>
        <v>635</v>
      </c>
    </row>
    <row r="140" spans="1:7" ht="25.5">
      <c r="A140" s="433" t="s">
        <v>838</v>
      </c>
      <c r="B140" s="385" t="s">
        <v>779</v>
      </c>
      <c r="C140" s="386">
        <v>6000000</v>
      </c>
      <c r="D140" s="386">
        <v>3000000</v>
      </c>
      <c r="E140" s="386"/>
      <c r="F140" s="386"/>
      <c r="G140" s="386">
        <f t="shared" si="42"/>
        <v>3000000</v>
      </c>
    </row>
    <row r="141" spans="1:7">
      <c r="A141" s="437" t="s">
        <v>839</v>
      </c>
      <c r="B141" s="385" t="s">
        <v>779</v>
      </c>
      <c r="C141" s="386"/>
      <c r="D141" s="386"/>
      <c r="E141" s="438">
        <v>23736</v>
      </c>
      <c r="F141" s="438"/>
      <c r="G141" s="438">
        <f t="shared" si="42"/>
        <v>23736</v>
      </c>
    </row>
    <row r="142" spans="1:7" ht="12.75" customHeight="1">
      <c r="A142" s="433" t="s">
        <v>840</v>
      </c>
      <c r="B142" s="385" t="s">
        <v>779</v>
      </c>
      <c r="C142" s="386">
        <v>1500000</v>
      </c>
      <c r="D142" s="386">
        <v>1500000</v>
      </c>
      <c r="E142" s="386"/>
      <c r="F142" s="386"/>
      <c r="G142" s="386">
        <f t="shared" si="42"/>
        <v>1500000</v>
      </c>
    </row>
    <row r="143" spans="1:7" ht="12.75" customHeight="1">
      <c r="A143" s="433" t="s">
        <v>841</v>
      </c>
      <c r="B143" s="385" t="s">
        <v>779</v>
      </c>
      <c r="C143" s="386">
        <v>10000</v>
      </c>
      <c r="D143" s="386">
        <v>10000</v>
      </c>
      <c r="E143" s="386">
        <v>10000</v>
      </c>
      <c r="F143" s="386"/>
      <c r="G143" s="386">
        <f t="shared" si="42"/>
        <v>20000</v>
      </c>
    </row>
    <row r="144" spans="1:7" ht="12.75" customHeight="1">
      <c r="A144" s="433" t="s">
        <v>1072</v>
      </c>
      <c r="B144" s="385" t="s">
        <v>779</v>
      </c>
      <c r="C144" s="386">
        <v>1360000</v>
      </c>
      <c r="D144" s="386"/>
      <c r="E144" s="386"/>
      <c r="F144" s="386">
        <v>120000</v>
      </c>
      <c r="G144" s="386">
        <f t="shared" si="42"/>
        <v>120000</v>
      </c>
    </row>
    <row r="145" spans="1:7">
      <c r="A145" s="433" t="s">
        <v>842</v>
      </c>
      <c r="B145" s="385" t="s">
        <v>779</v>
      </c>
      <c r="C145" s="386">
        <v>285169</v>
      </c>
      <c r="D145" s="386">
        <v>285169</v>
      </c>
      <c r="E145" s="386"/>
      <c r="F145" s="386"/>
      <c r="G145" s="386">
        <f t="shared" si="42"/>
        <v>285169</v>
      </c>
    </row>
    <row r="146" spans="1:7">
      <c r="A146" s="433" t="s">
        <v>843</v>
      </c>
      <c r="B146" s="385" t="s">
        <v>779</v>
      </c>
      <c r="C146" s="386">
        <v>9000</v>
      </c>
      <c r="D146" s="386">
        <v>9000</v>
      </c>
      <c r="E146" s="386"/>
      <c r="F146" s="386"/>
      <c r="G146" s="386">
        <f t="shared" si="42"/>
        <v>9000</v>
      </c>
    </row>
    <row r="147" spans="1:7">
      <c r="A147" s="433" t="s">
        <v>844</v>
      </c>
      <c r="B147" s="385" t="s">
        <v>779</v>
      </c>
      <c r="C147" s="386">
        <v>10000</v>
      </c>
      <c r="D147" s="386">
        <v>10000</v>
      </c>
      <c r="E147" s="386"/>
      <c r="F147" s="386"/>
      <c r="G147" s="386">
        <f t="shared" si="42"/>
        <v>10000</v>
      </c>
    </row>
    <row r="148" spans="1:7">
      <c r="A148" s="433" t="s">
        <v>845</v>
      </c>
      <c r="B148" s="385" t="s">
        <v>779</v>
      </c>
      <c r="C148" s="386">
        <v>8000</v>
      </c>
      <c r="D148" s="386">
        <v>8000</v>
      </c>
      <c r="E148" s="386"/>
      <c r="F148" s="386"/>
      <c r="G148" s="386">
        <f t="shared" si="42"/>
        <v>8000</v>
      </c>
    </row>
    <row r="149" spans="1:7">
      <c r="A149" s="433" t="s">
        <v>846</v>
      </c>
      <c r="B149" s="385" t="s">
        <v>779</v>
      </c>
      <c r="C149" s="386">
        <v>7500</v>
      </c>
      <c r="D149" s="386">
        <v>7500</v>
      </c>
      <c r="E149" s="386"/>
      <c r="F149" s="386"/>
      <c r="G149" s="386">
        <f t="shared" si="42"/>
        <v>7500</v>
      </c>
    </row>
    <row r="150" spans="1:7">
      <c r="A150" s="433" t="s">
        <v>847</v>
      </c>
      <c r="B150" s="385" t="s">
        <v>779</v>
      </c>
      <c r="C150" s="386">
        <v>250000</v>
      </c>
      <c r="D150" s="386"/>
      <c r="E150" s="386">
        <v>170000</v>
      </c>
      <c r="F150" s="386"/>
      <c r="G150" s="386">
        <f t="shared" ref="G150:G213" si="47">SUM(D150:F150)</f>
        <v>170000</v>
      </c>
    </row>
    <row r="151" spans="1:7">
      <c r="A151" s="439" t="s">
        <v>848</v>
      </c>
      <c r="B151" s="385" t="s">
        <v>779</v>
      </c>
      <c r="C151" s="386">
        <v>280000</v>
      </c>
      <c r="D151" s="386">
        <v>165000</v>
      </c>
      <c r="E151" s="386">
        <v>115000</v>
      </c>
      <c r="F151" s="386"/>
      <c r="G151" s="386">
        <f t="shared" si="47"/>
        <v>280000</v>
      </c>
    </row>
    <row r="152" spans="1:7">
      <c r="A152" s="439" t="s">
        <v>849</v>
      </c>
      <c r="B152" s="385" t="s">
        <v>779</v>
      </c>
      <c r="C152" s="386">
        <v>100000</v>
      </c>
      <c r="D152" s="386"/>
      <c r="E152" s="386">
        <v>50000</v>
      </c>
      <c r="F152" s="386"/>
      <c r="G152" s="386">
        <f t="shared" si="47"/>
        <v>50000</v>
      </c>
    </row>
    <row r="153" spans="1:7">
      <c r="A153" s="433" t="s">
        <v>844</v>
      </c>
      <c r="B153" s="385" t="s">
        <v>779</v>
      </c>
      <c r="C153" s="386">
        <f>10000+1753</f>
        <v>11753</v>
      </c>
      <c r="D153" s="386"/>
      <c r="E153" s="386">
        <v>1753</v>
      </c>
      <c r="F153" s="386"/>
      <c r="G153" s="386">
        <f t="shared" si="47"/>
        <v>1753</v>
      </c>
    </row>
    <row r="154" spans="1:7">
      <c r="A154" s="387" t="s">
        <v>644</v>
      </c>
      <c r="B154" s="388" t="s">
        <v>777</v>
      </c>
      <c r="C154" s="389">
        <f>SUM(C155:C162)</f>
        <v>2762919</v>
      </c>
      <c r="D154" s="389">
        <f>SUM(D155:D160)</f>
        <v>1651600</v>
      </c>
      <c r="E154" s="389">
        <f>E155+E156+E157+E158+E159+E160+E161+E162</f>
        <v>154000</v>
      </c>
      <c r="F154" s="389"/>
      <c r="G154" s="389">
        <f t="shared" si="47"/>
        <v>1805600</v>
      </c>
    </row>
    <row r="155" spans="1:7" ht="41.25" customHeight="1">
      <c r="A155" s="433" t="s">
        <v>850</v>
      </c>
      <c r="B155" s="385" t="s">
        <v>779</v>
      </c>
      <c r="C155" s="386">
        <v>1173919</v>
      </c>
      <c r="D155" s="386">
        <v>319000</v>
      </c>
      <c r="E155" s="386"/>
      <c r="F155" s="386"/>
      <c r="G155" s="386">
        <f t="shared" si="47"/>
        <v>319000</v>
      </c>
    </row>
    <row r="156" spans="1:7" ht="25.5">
      <c r="A156" s="433" t="s">
        <v>851</v>
      </c>
      <c r="B156" s="385" t="s">
        <v>779</v>
      </c>
      <c r="C156" s="386">
        <v>130000</v>
      </c>
      <c r="D156" s="386">
        <v>130000</v>
      </c>
      <c r="E156" s="386"/>
      <c r="F156" s="386">
        <v>23692</v>
      </c>
      <c r="G156" s="386">
        <f t="shared" si="47"/>
        <v>153692</v>
      </c>
    </row>
    <row r="157" spans="1:7" ht="25.5">
      <c r="A157" s="433" t="s">
        <v>852</v>
      </c>
      <c r="B157" s="385" t="s">
        <v>779</v>
      </c>
      <c r="C157" s="386">
        <v>760000</v>
      </c>
      <c r="D157" s="386">
        <v>660000</v>
      </c>
      <c r="E157" s="386"/>
      <c r="F157" s="386"/>
      <c r="G157" s="386">
        <f t="shared" si="47"/>
        <v>660000</v>
      </c>
    </row>
    <row r="158" spans="1:7" ht="25.5">
      <c r="A158" s="433" t="s">
        <v>853</v>
      </c>
      <c r="B158" s="385" t="s">
        <v>779</v>
      </c>
      <c r="C158" s="386">
        <v>124000</v>
      </c>
      <c r="D158" s="386"/>
      <c r="E158" s="386">
        <v>124000</v>
      </c>
      <c r="F158" s="386"/>
      <c r="G158" s="386">
        <f t="shared" si="47"/>
        <v>124000</v>
      </c>
    </row>
    <row r="159" spans="1:7" ht="38.25">
      <c r="A159" s="433" t="s">
        <v>854</v>
      </c>
      <c r="B159" s="385" t="s">
        <v>779</v>
      </c>
      <c r="C159" s="386">
        <v>295000</v>
      </c>
      <c r="D159" s="386">
        <v>292600</v>
      </c>
      <c r="E159" s="386"/>
      <c r="F159" s="386"/>
      <c r="G159" s="386">
        <f t="shared" si="47"/>
        <v>292600</v>
      </c>
    </row>
    <row r="160" spans="1:7">
      <c r="A160" s="433" t="s">
        <v>855</v>
      </c>
      <c r="B160" s="385" t="s">
        <v>779</v>
      </c>
      <c r="C160" s="386">
        <v>250000</v>
      </c>
      <c r="D160" s="386">
        <v>250000</v>
      </c>
      <c r="E160" s="386"/>
      <c r="F160" s="386">
        <v>-23692</v>
      </c>
      <c r="G160" s="386">
        <f t="shared" si="47"/>
        <v>226308</v>
      </c>
    </row>
    <row r="161" spans="1:7">
      <c r="A161" s="433" t="s">
        <v>856</v>
      </c>
      <c r="B161" s="385" t="s">
        <v>779</v>
      </c>
      <c r="C161" s="386">
        <v>15000</v>
      </c>
      <c r="D161" s="386"/>
      <c r="E161" s="386">
        <v>15000</v>
      </c>
      <c r="F161" s="386"/>
      <c r="G161" s="386">
        <f t="shared" si="47"/>
        <v>15000</v>
      </c>
    </row>
    <row r="162" spans="1:7">
      <c r="A162" s="433" t="s">
        <v>857</v>
      </c>
      <c r="B162" s="385" t="s">
        <v>779</v>
      </c>
      <c r="C162" s="386">
        <v>15000</v>
      </c>
      <c r="D162" s="386"/>
      <c r="E162" s="386">
        <v>15000</v>
      </c>
      <c r="F162" s="386"/>
      <c r="G162" s="386">
        <f t="shared" si="47"/>
        <v>15000</v>
      </c>
    </row>
    <row r="163" spans="1:7">
      <c r="A163" s="387" t="s">
        <v>645</v>
      </c>
      <c r="B163" s="388" t="s">
        <v>777</v>
      </c>
      <c r="C163" s="389">
        <f>C164+C166+C165</f>
        <v>1896824</v>
      </c>
      <c r="D163" s="389">
        <f t="shared" ref="D163:E163" si="48">D164+D166+D165</f>
        <v>36000</v>
      </c>
      <c r="E163" s="389">
        <f t="shared" si="48"/>
        <v>56033</v>
      </c>
      <c r="F163" s="389"/>
      <c r="G163" s="389">
        <f t="shared" si="47"/>
        <v>92033</v>
      </c>
    </row>
    <row r="164" spans="1:7">
      <c r="A164" s="407" t="s">
        <v>778</v>
      </c>
      <c r="B164" s="385" t="s">
        <v>779</v>
      </c>
      <c r="C164" s="386">
        <f>C168</f>
        <v>1342694</v>
      </c>
      <c r="D164" s="386">
        <f>D168</f>
        <v>36000</v>
      </c>
      <c r="E164" s="386"/>
      <c r="F164" s="386"/>
      <c r="G164" s="386">
        <f t="shared" si="47"/>
        <v>36000</v>
      </c>
    </row>
    <row r="165" spans="1:7">
      <c r="A165" s="417"/>
      <c r="B165" s="393" t="s">
        <v>782</v>
      </c>
      <c r="C165" s="386">
        <f>C169</f>
        <v>498097</v>
      </c>
      <c r="D165" s="386"/>
      <c r="E165" s="386"/>
      <c r="F165" s="386"/>
      <c r="G165" s="386">
        <f t="shared" si="47"/>
        <v>0</v>
      </c>
    </row>
    <row r="166" spans="1:7">
      <c r="A166" s="440"/>
      <c r="B166" s="393" t="s">
        <v>780</v>
      </c>
      <c r="C166" s="386">
        <f>C170</f>
        <v>56033</v>
      </c>
      <c r="D166" s="386">
        <f>D170</f>
        <v>0</v>
      </c>
      <c r="E166" s="386">
        <f>E170</f>
        <v>56033</v>
      </c>
      <c r="F166" s="386"/>
      <c r="G166" s="386">
        <f t="shared" si="47"/>
        <v>56033</v>
      </c>
    </row>
    <row r="167" spans="1:7" ht="12.75" customHeight="1">
      <c r="A167" s="390" t="s">
        <v>858</v>
      </c>
      <c r="B167" s="391" t="s">
        <v>777</v>
      </c>
      <c r="C167" s="392">
        <f>C168+C169</f>
        <v>1840791</v>
      </c>
      <c r="D167" s="392">
        <f>D168+D170</f>
        <v>36000</v>
      </c>
      <c r="E167" s="392"/>
      <c r="F167" s="392"/>
      <c r="G167" s="392">
        <f t="shared" si="47"/>
        <v>36000</v>
      </c>
    </row>
    <row r="168" spans="1:7">
      <c r="A168" s="407"/>
      <c r="B168" s="385" t="s">
        <v>779</v>
      </c>
      <c r="C168" s="386">
        <v>1342694</v>
      </c>
      <c r="D168" s="386">
        <v>36000</v>
      </c>
      <c r="E168" s="386"/>
      <c r="F168" s="386"/>
      <c r="G168" s="386">
        <f t="shared" si="47"/>
        <v>36000</v>
      </c>
    </row>
    <row r="169" spans="1:7" ht="12.75" customHeight="1">
      <c r="A169" s="441"/>
      <c r="B169" s="385" t="s">
        <v>782</v>
      </c>
      <c r="C169" s="392">
        <v>498097</v>
      </c>
      <c r="D169" s="392"/>
      <c r="E169" s="392"/>
      <c r="F169" s="392"/>
      <c r="G169" s="392">
        <f t="shared" si="47"/>
        <v>0</v>
      </c>
    </row>
    <row r="170" spans="1:7">
      <c r="A170" s="527" t="s">
        <v>1059</v>
      </c>
      <c r="B170" s="393" t="s">
        <v>780</v>
      </c>
      <c r="C170" s="386">
        <v>56033</v>
      </c>
      <c r="D170" s="386"/>
      <c r="E170" s="386">
        <v>56033</v>
      </c>
      <c r="F170" s="386"/>
      <c r="G170" s="386">
        <f t="shared" si="47"/>
        <v>56033</v>
      </c>
    </row>
    <row r="171" spans="1:7" ht="12.75" customHeight="1">
      <c r="A171" s="387" t="s">
        <v>859</v>
      </c>
      <c r="B171" s="388" t="s">
        <v>777</v>
      </c>
      <c r="C171" s="389">
        <f>C172+C174+C175</f>
        <v>13450000</v>
      </c>
      <c r="D171" s="389">
        <f t="shared" ref="D171" si="49">D172+D174+D175</f>
        <v>5450000</v>
      </c>
      <c r="E171" s="389"/>
      <c r="F171" s="389"/>
      <c r="G171" s="389">
        <f t="shared" si="47"/>
        <v>5450000</v>
      </c>
    </row>
    <row r="172" spans="1:7" ht="25.5">
      <c r="A172" s="433" t="s">
        <v>860</v>
      </c>
      <c r="B172" s="385" t="s">
        <v>779</v>
      </c>
      <c r="C172" s="392">
        <v>8500000</v>
      </c>
      <c r="D172" s="392">
        <v>5000000</v>
      </c>
      <c r="E172" s="392"/>
      <c r="F172" s="392"/>
      <c r="G172" s="392">
        <f t="shared" si="47"/>
        <v>5000000</v>
      </c>
    </row>
    <row r="173" spans="1:7">
      <c r="A173" s="427" t="s">
        <v>861</v>
      </c>
      <c r="B173" s="401"/>
      <c r="C173" s="406"/>
      <c r="D173" s="406"/>
      <c r="E173" s="406"/>
      <c r="F173" s="406"/>
      <c r="G173" s="406">
        <f t="shared" si="47"/>
        <v>0</v>
      </c>
    </row>
    <row r="174" spans="1:7" ht="25.5">
      <c r="A174" s="433" t="s">
        <v>862</v>
      </c>
      <c r="B174" s="385" t="s">
        <v>779</v>
      </c>
      <c r="C174" s="386">
        <v>4750000</v>
      </c>
      <c r="D174" s="386">
        <v>250000</v>
      </c>
      <c r="E174" s="386"/>
      <c r="F174" s="386"/>
      <c r="G174" s="386">
        <f t="shared" si="47"/>
        <v>250000</v>
      </c>
    </row>
    <row r="175" spans="1:7">
      <c r="A175" s="433" t="s">
        <v>863</v>
      </c>
      <c r="B175" s="385" t="s">
        <v>779</v>
      </c>
      <c r="C175" s="386">
        <v>200000</v>
      </c>
      <c r="D175" s="386">
        <v>200000</v>
      </c>
      <c r="E175" s="386"/>
      <c r="F175" s="386"/>
      <c r="G175" s="386">
        <f t="shared" si="47"/>
        <v>200000</v>
      </c>
    </row>
    <row r="176" spans="1:7">
      <c r="A176" s="387" t="s">
        <v>646</v>
      </c>
      <c r="B176" s="388" t="s">
        <v>777</v>
      </c>
      <c r="C176" s="389">
        <f>C177+C178+C179</f>
        <v>3931070</v>
      </c>
      <c r="D176" s="389">
        <f>D177+D178+D179</f>
        <v>2557330</v>
      </c>
      <c r="E176" s="389">
        <f>E178</f>
        <v>10000</v>
      </c>
      <c r="F176" s="389">
        <f>F178</f>
        <v>10000</v>
      </c>
      <c r="G176" s="389">
        <f t="shared" si="47"/>
        <v>2577330</v>
      </c>
    </row>
    <row r="177" spans="1:7">
      <c r="A177" s="433" t="s">
        <v>864</v>
      </c>
      <c r="B177" s="385" t="s">
        <v>779</v>
      </c>
      <c r="C177" s="386">
        <v>276720</v>
      </c>
      <c r="D177" s="386">
        <v>63000</v>
      </c>
      <c r="E177" s="386"/>
      <c r="F177" s="386"/>
      <c r="G177" s="386">
        <f t="shared" si="47"/>
        <v>63000</v>
      </c>
    </row>
    <row r="178" spans="1:7">
      <c r="A178" s="433" t="s">
        <v>865</v>
      </c>
      <c r="B178" s="385" t="s">
        <v>779</v>
      </c>
      <c r="C178" s="386">
        <v>696000</v>
      </c>
      <c r="D178" s="386">
        <v>36000</v>
      </c>
      <c r="E178" s="386">
        <v>10000</v>
      </c>
      <c r="F178" s="386">
        <v>10000</v>
      </c>
      <c r="G178" s="386">
        <f t="shared" si="47"/>
        <v>56000</v>
      </c>
    </row>
    <row r="179" spans="1:7">
      <c r="A179" s="433" t="s">
        <v>866</v>
      </c>
      <c r="B179" s="385" t="s">
        <v>779</v>
      </c>
      <c r="C179" s="386">
        <v>2958350</v>
      </c>
      <c r="D179" s="386">
        <v>2458330</v>
      </c>
      <c r="E179" s="386"/>
      <c r="F179" s="386"/>
      <c r="G179" s="386">
        <f t="shared" si="47"/>
        <v>2458330</v>
      </c>
    </row>
    <row r="180" spans="1:7">
      <c r="A180" s="387" t="s">
        <v>647</v>
      </c>
      <c r="B180" s="388" t="s">
        <v>777</v>
      </c>
      <c r="C180" s="389">
        <f>C181+C182</f>
        <v>7375971</v>
      </c>
      <c r="D180" s="389">
        <f t="shared" ref="D180" si="50">D181+D182</f>
        <v>4710533</v>
      </c>
      <c r="E180" s="389">
        <f>E181+E182</f>
        <v>603938</v>
      </c>
      <c r="F180" s="389">
        <f>F181+F182</f>
        <v>-521500</v>
      </c>
      <c r="G180" s="389">
        <f t="shared" si="47"/>
        <v>4792971</v>
      </c>
    </row>
    <row r="181" spans="1:7">
      <c r="A181" s="407" t="s">
        <v>778</v>
      </c>
      <c r="B181" s="385" t="s">
        <v>779</v>
      </c>
      <c r="C181" s="386">
        <f>C183+C184+C186+C188+C189+C190+C191+C192+C193+C194+C196+C200</f>
        <v>7345971</v>
      </c>
      <c r="D181" s="386">
        <f>D183+D184+D186+D188+D189+D190+D191+D192+D193+D194+D196</f>
        <v>4710533</v>
      </c>
      <c r="E181" s="386">
        <f>E183+E184+E186+E188+E189+E190+E191+E192+E193+E194+E196+E200</f>
        <v>603938</v>
      </c>
      <c r="F181" s="386">
        <f>F183+F184+F186+F188+F189+F190+F191+F192+F193+F194+F196+F200+F195</f>
        <v>-521500</v>
      </c>
      <c r="G181" s="386">
        <f t="shared" si="47"/>
        <v>4792971</v>
      </c>
    </row>
    <row r="182" spans="1:7">
      <c r="A182" s="440"/>
      <c r="B182" s="393" t="s">
        <v>782</v>
      </c>
      <c r="C182" s="386">
        <f>C187+C201</f>
        <v>30000</v>
      </c>
      <c r="D182" s="386">
        <f t="shared" ref="D182:E182" si="51">D187</f>
        <v>0</v>
      </c>
      <c r="E182" s="386">
        <f t="shared" si="51"/>
        <v>0</v>
      </c>
      <c r="F182" s="386"/>
      <c r="G182" s="386">
        <f t="shared" si="47"/>
        <v>0</v>
      </c>
    </row>
    <row r="183" spans="1:7">
      <c r="A183" s="433" t="s">
        <v>867</v>
      </c>
      <c r="B183" s="385" t="s">
        <v>779</v>
      </c>
      <c r="C183" s="386">
        <v>4250000</v>
      </c>
      <c r="D183" s="386">
        <v>2000000</v>
      </c>
      <c r="E183" s="386"/>
      <c r="F183" s="386"/>
      <c r="G183" s="386">
        <f t="shared" si="47"/>
        <v>2000000</v>
      </c>
    </row>
    <row r="184" spans="1:7">
      <c r="A184" s="433" t="s">
        <v>868</v>
      </c>
      <c r="B184" s="385" t="s">
        <v>779</v>
      </c>
      <c r="C184" s="386">
        <v>1613100</v>
      </c>
      <c r="D184" s="386">
        <v>2000000</v>
      </c>
      <c r="E184" s="386"/>
      <c r="F184" s="386">
        <v>-596900</v>
      </c>
      <c r="G184" s="386">
        <f t="shared" si="47"/>
        <v>1403100</v>
      </c>
    </row>
    <row r="185" spans="1:7">
      <c r="A185" s="433" t="s">
        <v>869</v>
      </c>
      <c r="B185" s="385" t="s">
        <v>777</v>
      </c>
      <c r="C185" s="386">
        <f>C186+C187</f>
        <v>178000</v>
      </c>
      <c r="D185" s="386">
        <f>D186</f>
        <v>60000</v>
      </c>
      <c r="E185" s="386"/>
      <c r="F185" s="386"/>
      <c r="G185" s="386">
        <f t="shared" si="47"/>
        <v>60000</v>
      </c>
    </row>
    <row r="186" spans="1:7">
      <c r="A186" s="384" t="s">
        <v>778</v>
      </c>
      <c r="B186" s="433" t="s">
        <v>779</v>
      </c>
      <c r="C186" s="386">
        <v>163000</v>
      </c>
      <c r="D186" s="386">
        <v>60000</v>
      </c>
      <c r="E186" s="386"/>
      <c r="F186" s="386"/>
      <c r="G186" s="386">
        <f t="shared" si="47"/>
        <v>60000</v>
      </c>
    </row>
    <row r="187" spans="1:7">
      <c r="A187" s="442"/>
      <c r="B187" s="378" t="s">
        <v>782</v>
      </c>
      <c r="C187" s="394">
        <v>15000</v>
      </c>
      <c r="D187" s="394"/>
      <c r="E187" s="394"/>
      <c r="F187" s="394"/>
      <c r="G187" s="394">
        <f t="shared" si="47"/>
        <v>0</v>
      </c>
    </row>
    <row r="188" spans="1:7">
      <c r="A188" s="433" t="s">
        <v>870</v>
      </c>
      <c r="B188" s="385" t="s">
        <v>779</v>
      </c>
      <c r="C188" s="386">
        <v>645100</v>
      </c>
      <c r="D188" s="386">
        <v>200000</v>
      </c>
      <c r="E188" s="386">
        <v>440000</v>
      </c>
      <c r="F188" s="386">
        <v>5100</v>
      </c>
      <c r="G188" s="386">
        <f t="shared" si="47"/>
        <v>645100</v>
      </c>
    </row>
    <row r="189" spans="1:7">
      <c r="A189" s="433" t="s">
        <v>871</v>
      </c>
      <c r="B189" s="385" t="s">
        <v>779</v>
      </c>
      <c r="C189" s="386">
        <v>20933</v>
      </c>
      <c r="D189" s="386">
        <v>20933</v>
      </c>
      <c r="E189" s="386"/>
      <c r="F189" s="386"/>
      <c r="G189" s="386">
        <f t="shared" si="47"/>
        <v>20933</v>
      </c>
    </row>
    <row r="190" spans="1:7" ht="12.75" customHeight="1">
      <c r="A190" s="433" t="s">
        <v>872</v>
      </c>
      <c r="B190" s="385" t="s">
        <v>779</v>
      </c>
      <c r="C190" s="386">
        <v>100000</v>
      </c>
      <c r="D190" s="386">
        <v>100000</v>
      </c>
      <c r="E190" s="386"/>
      <c r="F190" s="386"/>
      <c r="G190" s="386">
        <f t="shared" si="47"/>
        <v>100000</v>
      </c>
    </row>
    <row r="191" spans="1:7" ht="12.75" customHeight="1">
      <c r="A191" s="433" t="s">
        <v>873</v>
      </c>
      <c r="B191" s="385" t="s">
        <v>779</v>
      </c>
      <c r="C191" s="386">
        <v>30000</v>
      </c>
      <c r="D191" s="386">
        <v>30000</v>
      </c>
      <c r="E191" s="386"/>
      <c r="F191" s="386"/>
      <c r="G191" s="386">
        <f t="shared" si="47"/>
        <v>30000</v>
      </c>
    </row>
    <row r="192" spans="1:7" ht="25.5">
      <c r="A192" s="433" t="s">
        <v>874</v>
      </c>
      <c r="B192" s="385" t="s">
        <v>779</v>
      </c>
      <c r="C192" s="386">
        <f>60000+88000</f>
        <v>148000</v>
      </c>
      <c r="D192" s="386">
        <v>60000</v>
      </c>
      <c r="E192" s="386">
        <v>88000</v>
      </c>
      <c r="F192" s="386"/>
      <c r="G192" s="386">
        <f t="shared" si="47"/>
        <v>148000</v>
      </c>
    </row>
    <row r="193" spans="1:7" ht="25.5">
      <c r="A193" s="433" t="s">
        <v>875</v>
      </c>
      <c r="B193" s="385" t="s">
        <v>779</v>
      </c>
      <c r="C193" s="386">
        <v>79900</v>
      </c>
      <c r="D193" s="386">
        <v>50000</v>
      </c>
      <c r="E193" s="386">
        <v>35000</v>
      </c>
      <c r="F193" s="386">
        <v>-5100</v>
      </c>
      <c r="G193" s="386">
        <f t="shared" si="47"/>
        <v>79900</v>
      </c>
    </row>
    <row r="194" spans="1:7">
      <c r="A194" s="433" t="s">
        <v>876</v>
      </c>
      <c r="B194" s="385" t="s">
        <v>779</v>
      </c>
      <c r="C194" s="386"/>
      <c r="D194" s="386">
        <v>22600</v>
      </c>
      <c r="E194" s="386"/>
      <c r="F194" s="386">
        <v>-22600</v>
      </c>
      <c r="G194" s="386">
        <f t="shared" si="47"/>
        <v>0</v>
      </c>
    </row>
    <row r="195" spans="1:7" ht="25.5">
      <c r="A195" s="585" t="s">
        <v>1073</v>
      </c>
      <c r="B195" s="584" t="s">
        <v>779</v>
      </c>
      <c r="C195" s="523">
        <v>98000</v>
      </c>
      <c r="D195" s="386"/>
      <c r="E195" s="386"/>
      <c r="F195" s="386">
        <v>98000</v>
      </c>
      <c r="G195" s="386">
        <f t="shared" si="47"/>
        <v>98000</v>
      </c>
    </row>
    <row r="196" spans="1:7">
      <c r="A196" s="433" t="s">
        <v>877</v>
      </c>
      <c r="B196" s="385" t="s">
        <v>779</v>
      </c>
      <c r="C196" s="386">
        <v>167000</v>
      </c>
      <c r="D196" s="386">
        <v>167000</v>
      </c>
      <c r="E196" s="386"/>
      <c r="F196" s="386"/>
      <c r="G196" s="386">
        <f t="shared" si="47"/>
        <v>167000</v>
      </c>
    </row>
    <row r="197" spans="1:7" ht="12.75" customHeight="1">
      <c r="A197" s="421" t="s">
        <v>878</v>
      </c>
      <c r="B197" s="401"/>
      <c r="C197" s="425"/>
      <c r="D197" s="425"/>
      <c r="E197" s="425"/>
      <c r="F197" s="425"/>
      <c r="G197" s="386">
        <f t="shared" si="47"/>
        <v>0</v>
      </c>
    </row>
    <row r="198" spans="1:7">
      <c r="A198" s="427" t="s">
        <v>879</v>
      </c>
      <c r="B198" s="401"/>
      <c r="C198" s="425"/>
      <c r="D198" s="425"/>
      <c r="E198" s="425"/>
      <c r="F198" s="425"/>
      <c r="G198" s="386">
        <f t="shared" si="47"/>
        <v>0</v>
      </c>
    </row>
    <row r="199" spans="1:7">
      <c r="A199" s="433" t="s">
        <v>869</v>
      </c>
      <c r="B199" s="385" t="s">
        <v>777</v>
      </c>
      <c r="C199" s="386">
        <f>C200+C201</f>
        <v>143938</v>
      </c>
      <c r="D199" s="425"/>
      <c r="E199" s="386">
        <f>E200</f>
        <v>40938</v>
      </c>
      <c r="F199" s="386"/>
      <c r="G199" s="386">
        <f t="shared" si="47"/>
        <v>40938</v>
      </c>
    </row>
    <row r="200" spans="1:7">
      <c r="A200" s="384" t="s">
        <v>778</v>
      </c>
      <c r="B200" s="433" t="s">
        <v>779</v>
      </c>
      <c r="C200" s="386">
        <v>128938</v>
      </c>
      <c r="D200" s="425"/>
      <c r="E200" s="386">
        <v>40938</v>
      </c>
      <c r="F200" s="386"/>
      <c r="G200" s="386">
        <f t="shared" si="47"/>
        <v>40938</v>
      </c>
    </row>
    <row r="201" spans="1:7">
      <c r="A201" s="442"/>
      <c r="B201" s="378" t="s">
        <v>782</v>
      </c>
      <c r="C201" s="394">
        <v>15000</v>
      </c>
      <c r="D201" s="425"/>
      <c r="E201" s="394"/>
      <c r="F201" s="394"/>
      <c r="G201" s="386">
        <f t="shared" si="47"/>
        <v>0</v>
      </c>
    </row>
    <row r="202" spans="1:7" ht="12.75" customHeight="1">
      <c r="A202" s="387" t="s">
        <v>652</v>
      </c>
      <c r="B202" s="388"/>
      <c r="C202" s="389">
        <f>SUM(C203:C203)</f>
        <v>14312</v>
      </c>
      <c r="D202" s="389">
        <f>SUM(D203:D203)</f>
        <v>0</v>
      </c>
      <c r="E202" s="389">
        <f>SUM(E203:E203)</f>
        <v>9612</v>
      </c>
      <c r="F202" s="389">
        <f>SUM(F203:F203)</f>
        <v>4700</v>
      </c>
      <c r="G202" s="389">
        <f t="shared" si="47"/>
        <v>14312</v>
      </c>
    </row>
    <row r="203" spans="1:7" ht="25.5">
      <c r="A203" s="433" t="s">
        <v>880</v>
      </c>
      <c r="B203" s="385" t="s">
        <v>779</v>
      </c>
      <c r="C203" s="386">
        <v>14312</v>
      </c>
      <c r="D203" s="386"/>
      <c r="E203" s="386">
        <v>9612</v>
      </c>
      <c r="F203" s="386">
        <v>4700</v>
      </c>
      <c r="G203" s="386">
        <f t="shared" si="47"/>
        <v>14312</v>
      </c>
    </row>
    <row r="204" spans="1:7" ht="12.75" customHeight="1">
      <c r="A204" s="387" t="s">
        <v>642</v>
      </c>
      <c r="B204" s="388" t="s">
        <v>777</v>
      </c>
      <c r="C204" s="389">
        <f>C205+C206</f>
        <v>23232369</v>
      </c>
      <c r="D204" s="389">
        <f t="shared" ref="D204:E204" si="52">D205+D206</f>
        <v>20051369</v>
      </c>
      <c r="E204" s="389">
        <f t="shared" si="52"/>
        <v>680000</v>
      </c>
      <c r="F204" s="389">
        <f t="shared" ref="F204" si="53">F205+F206</f>
        <v>-942800</v>
      </c>
      <c r="G204" s="389">
        <f t="shared" si="47"/>
        <v>19788569</v>
      </c>
    </row>
    <row r="205" spans="1:7" ht="12.75" customHeight="1">
      <c r="A205" s="407" t="s">
        <v>778</v>
      </c>
      <c r="B205" s="385" t="s">
        <v>779</v>
      </c>
      <c r="C205" s="386">
        <f>C208+C238+C241+C242+C243+C244+C245+C246</f>
        <v>19794631</v>
      </c>
      <c r="D205" s="386">
        <f t="shared" ref="D205:E205" si="54">D208+D238+D241+D242+D243+D244+D245+D246</f>
        <v>17168500</v>
      </c>
      <c r="E205" s="386">
        <f t="shared" si="54"/>
        <v>125131</v>
      </c>
      <c r="F205" s="386">
        <f t="shared" ref="F205" si="55">F208+F238+F241+F242+F243+F244+F245+F246</f>
        <v>-942800</v>
      </c>
      <c r="G205" s="386">
        <f t="shared" si="47"/>
        <v>16350831</v>
      </c>
    </row>
    <row r="206" spans="1:7" ht="12.75" customHeight="1">
      <c r="A206" s="440"/>
      <c r="B206" s="393" t="s">
        <v>782</v>
      </c>
      <c r="C206" s="386">
        <f>C209</f>
        <v>3437738</v>
      </c>
      <c r="D206" s="386">
        <f t="shared" ref="D206:E206" si="56">D209</f>
        <v>2882869</v>
      </c>
      <c r="E206" s="386">
        <f t="shared" si="56"/>
        <v>554869</v>
      </c>
      <c r="F206" s="386">
        <f t="shared" ref="F206" si="57">F209</f>
        <v>0</v>
      </c>
      <c r="G206" s="386">
        <f t="shared" si="47"/>
        <v>3437738</v>
      </c>
    </row>
    <row r="207" spans="1:7">
      <c r="A207" s="443" t="s">
        <v>881</v>
      </c>
      <c r="B207" s="385" t="s">
        <v>777</v>
      </c>
      <c r="C207" s="523">
        <f>C208+C209</f>
        <v>19938869</v>
      </c>
      <c r="D207" s="386">
        <f>D208+D209</f>
        <v>17312869</v>
      </c>
      <c r="E207" s="386">
        <f>E208+E209</f>
        <v>125000</v>
      </c>
      <c r="F207" s="386">
        <f>F208+F209</f>
        <v>-1011000</v>
      </c>
      <c r="G207" s="386">
        <f t="shared" si="47"/>
        <v>16426869</v>
      </c>
    </row>
    <row r="208" spans="1:7">
      <c r="A208" s="407" t="s">
        <v>778</v>
      </c>
      <c r="B208" s="385" t="s">
        <v>779</v>
      </c>
      <c r="C208" s="523">
        <f>16931000-219869-210000</f>
        <v>16501131</v>
      </c>
      <c r="D208" s="386">
        <v>14430000</v>
      </c>
      <c r="E208" s="386">
        <f>-429869</f>
        <v>-429869</v>
      </c>
      <c r="F208" s="386">
        <v>-1011000</v>
      </c>
      <c r="G208" s="386">
        <f t="shared" si="47"/>
        <v>12989131</v>
      </c>
    </row>
    <row r="209" spans="1:7">
      <c r="A209" s="402"/>
      <c r="B209" s="385" t="s">
        <v>782</v>
      </c>
      <c r="C209" s="523">
        <f>2882869+554869</f>
        <v>3437738</v>
      </c>
      <c r="D209" s="386">
        <f>2882869</f>
        <v>2882869</v>
      </c>
      <c r="E209" s="386">
        <v>554869</v>
      </c>
      <c r="F209" s="386"/>
      <c r="G209" s="386">
        <f t="shared" si="47"/>
        <v>3437738</v>
      </c>
    </row>
    <row r="210" spans="1:7">
      <c r="A210" s="444" t="s">
        <v>882</v>
      </c>
      <c r="B210" s="385"/>
      <c r="C210" s="406"/>
      <c r="D210" s="406"/>
      <c r="E210" s="406"/>
      <c r="F210" s="406"/>
      <c r="G210" s="406">
        <f t="shared" si="47"/>
        <v>0</v>
      </c>
    </row>
    <row r="211" spans="1:7" ht="12.75" customHeight="1">
      <c r="A211" s="444" t="s">
        <v>883</v>
      </c>
      <c r="B211" s="385"/>
      <c r="C211" s="406"/>
      <c r="D211" s="406"/>
      <c r="E211" s="406"/>
      <c r="F211" s="406"/>
      <c r="G211" s="406">
        <f t="shared" si="47"/>
        <v>0</v>
      </c>
    </row>
    <row r="212" spans="1:7" ht="12.75" customHeight="1">
      <c r="A212" s="444" t="s">
        <v>884</v>
      </c>
      <c r="B212" s="385"/>
      <c r="C212" s="406"/>
      <c r="D212" s="406"/>
      <c r="E212" s="406"/>
      <c r="F212" s="406"/>
      <c r="G212" s="406">
        <f t="shared" si="47"/>
        <v>0</v>
      </c>
    </row>
    <row r="213" spans="1:7" ht="12.75" customHeight="1">
      <c r="A213" s="444" t="s">
        <v>885</v>
      </c>
      <c r="B213" s="385"/>
      <c r="C213" s="406"/>
      <c r="D213" s="406"/>
      <c r="E213" s="406"/>
      <c r="F213" s="406"/>
      <c r="G213" s="406">
        <f t="shared" si="47"/>
        <v>0</v>
      </c>
    </row>
    <row r="214" spans="1:7">
      <c r="A214" s="444" t="s">
        <v>886</v>
      </c>
      <c r="B214" s="385"/>
      <c r="C214" s="406"/>
      <c r="D214" s="406"/>
      <c r="E214" s="406"/>
      <c r="F214" s="406"/>
      <c r="G214" s="406">
        <f t="shared" ref="G214:G256" si="58">SUM(D214:F214)</f>
        <v>0</v>
      </c>
    </row>
    <row r="215" spans="1:7">
      <c r="A215" s="444" t="s">
        <v>887</v>
      </c>
      <c r="B215" s="385"/>
      <c r="C215" s="406"/>
      <c r="D215" s="406"/>
      <c r="E215" s="406"/>
      <c r="F215" s="406"/>
      <c r="G215" s="406">
        <f t="shared" si="58"/>
        <v>0</v>
      </c>
    </row>
    <row r="216" spans="1:7">
      <c r="A216" s="444" t="s">
        <v>888</v>
      </c>
      <c r="B216" s="385"/>
      <c r="C216" s="406"/>
      <c r="D216" s="406"/>
      <c r="E216" s="406"/>
      <c r="F216" s="406"/>
      <c r="G216" s="406">
        <f t="shared" si="58"/>
        <v>0</v>
      </c>
    </row>
    <row r="217" spans="1:7">
      <c r="A217" s="444" t="s">
        <v>889</v>
      </c>
      <c r="B217" s="401"/>
      <c r="C217" s="406"/>
      <c r="D217" s="406"/>
      <c r="E217" s="406"/>
      <c r="F217" s="406"/>
      <c r="G217" s="406">
        <f t="shared" si="58"/>
        <v>0</v>
      </c>
    </row>
    <row r="218" spans="1:7">
      <c r="A218" s="444" t="s">
        <v>890</v>
      </c>
      <c r="B218" s="401"/>
      <c r="C218" s="406"/>
      <c r="D218" s="406"/>
      <c r="E218" s="406"/>
      <c r="F218" s="406"/>
      <c r="G218" s="406">
        <f t="shared" si="58"/>
        <v>0</v>
      </c>
    </row>
    <row r="219" spans="1:7">
      <c r="A219" s="444" t="s">
        <v>891</v>
      </c>
      <c r="B219" s="401"/>
      <c r="C219" s="406"/>
      <c r="D219" s="406"/>
      <c r="E219" s="406"/>
      <c r="F219" s="406"/>
      <c r="G219" s="406">
        <f t="shared" si="58"/>
        <v>0</v>
      </c>
    </row>
    <row r="220" spans="1:7">
      <c r="A220" s="444" t="s">
        <v>892</v>
      </c>
      <c r="B220" s="401"/>
      <c r="C220" s="406"/>
      <c r="D220" s="406"/>
      <c r="E220" s="406"/>
      <c r="F220" s="406"/>
      <c r="G220" s="406">
        <f t="shared" si="58"/>
        <v>0</v>
      </c>
    </row>
    <row r="221" spans="1:7" ht="12.75" customHeight="1">
      <c r="A221" s="444" t="s">
        <v>893</v>
      </c>
      <c r="B221" s="401"/>
      <c r="C221" s="406"/>
      <c r="D221" s="406"/>
      <c r="E221" s="406"/>
      <c r="F221" s="406"/>
      <c r="G221" s="406">
        <f t="shared" si="58"/>
        <v>0</v>
      </c>
    </row>
    <row r="222" spans="1:7" ht="12.75" customHeight="1">
      <c r="A222" s="444" t="s">
        <v>894</v>
      </c>
      <c r="B222" s="401"/>
      <c r="C222" s="406"/>
      <c r="D222" s="406"/>
      <c r="E222" s="406"/>
      <c r="F222" s="406"/>
      <c r="G222" s="406">
        <f t="shared" si="58"/>
        <v>0</v>
      </c>
    </row>
    <row r="223" spans="1:7">
      <c r="A223" s="444" t="s">
        <v>895</v>
      </c>
      <c r="B223" s="401"/>
      <c r="C223" s="406"/>
      <c r="D223" s="406"/>
      <c r="E223" s="406"/>
      <c r="F223" s="406"/>
      <c r="G223" s="406">
        <f t="shared" si="58"/>
        <v>0</v>
      </c>
    </row>
    <row r="224" spans="1:7">
      <c r="A224" s="444" t="s">
        <v>896</v>
      </c>
      <c r="B224" s="401"/>
      <c r="C224" s="406"/>
      <c r="D224" s="406"/>
      <c r="E224" s="406"/>
      <c r="F224" s="406"/>
      <c r="G224" s="406">
        <f t="shared" si="58"/>
        <v>0</v>
      </c>
    </row>
    <row r="225" spans="1:7">
      <c r="A225" s="444" t="s">
        <v>897</v>
      </c>
      <c r="B225" s="401"/>
      <c r="C225" s="406"/>
      <c r="D225" s="406"/>
      <c r="E225" s="406"/>
      <c r="F225" s="406"/>
      <c r="G225" s="406">
        <f t="shared" si="58"/>
        <v>0</v>
      </c>
    </row>
    <row r="226" spans="1:7">
      <c r="A226" s="444" t="s">
        <v>898</v>
      </c>
      <c r="B226" s="401"/>
      <c r="C226" s="406"/>
      <c r="D226" s="406"/>
      <c r="E226" s="406"/>
      <c r="F226" s="406"/>
      <c r="G226" s="406">
        <f t="shared" si="58"/>
        <v>0</v>
      </c>
    </row>
    <row r="227" spans="1:7">
      <c r="A227" s="444" t="s">
        <v>899</v>
      </c>
      <c r="B227" s="401"/>
      <c r="C227" s="406"/>
      <c r="D227" s="406"/>
      <c r="E227" s="406"/>
      <c r="F227" s="406"/>
      <c r="G227" s="406">
        <f t="shared" si="58"/>
        <v>0</v>
      </c>
    </row>
    <row r="228" spans="1:7">
      <c r="A228" s="444" t="s">
        <v>900</v>
      </c>
      <c r="B228" s="401"/>
      <c r="C228" s="406"/>
      <c r="D228" s="406"/>
      <c r="E228" s="406"/>
      <c r="F228" s="406"/>
      <c r="G228" s="406">
        <f t="shared" si="58"/>
        <v>0</v>
      </c>
    </row>
    <row r="229" spans="1:7">
      <c r="A229" s="444" t="s">
        <v>901</v>
      </c>
      <c r="B229" s="401"/>
      <c r="C229" s="406"/>
      <c r="D229" s="406"/>
      <c r="E229" s="406"/>
      <c r="F229" s="406"/>
      <c r="G229" s="406">
        <f t="shared" si="58"/>
        <v>0</v>
      </c>
    </row>
    <row r="230" spans="1:7">
      <c r="A230" s="444" t="s">
        <v>902</v>
      </c>
      <c r="B230" s="401"/>
      <c r="C230" s="406"/>
      <c r="D230" s="406"/>
      <c r="E230" s="406"/>
      <c r="F230" s="406"/>
      <c r="G230" s="406">
        <f t="shared" si="58"/>
        <v>0</v>
      </c>
    </row>
    <row r="231" spans="1:7">
      <c r="A231" s="444" t="s">
        <v>903</v>
      </c>
      <c r="B231" s="401"/>
      <c r="C231" s="406"/>
      <c r="D231" s="406"/>
      <c r="E231" s="406"/>
      <c r="F231" s="406"/>
      <c r="G231" s="406">
        <f t="shared" si="58"/>
        <v>0</v>
      </c>
    </row>
    <row r="232" spans="1:7">
      <c r="A232" s="444" t="s">
        <v>904</v>
      </c>
      <c r="B232" s="401"/>
      <c r="C232" s="406"/>
      <c r="D232" s="406"/>
      <c r="E232" s="406"/>
      <c r="F232" s="406"/>
      <c r="G232" s="406">
        <f t="shared" si="58"/>
        <v>0</v>
      </c>
    </row>
    <row r="233" spans="1:7">
      <c r="A233" s="444" t="s">
        <v>905</v>
      </c>
      <c r="B233" s="401"/>
      <c r="C233" s="406"/>
      <c r="D233" s="406"/>
      <c r="E233" s="406"/>
      <c r="F233" s="406"/>
      <c r="G233" s="406">
        <f t="shared" si="58"/>
        <v>0</v>
      </c>
    </row>
    <row r="234" spans="1:7">
      <c r="A234" s="444" t="s">
        <v>906</v>
      </c>
      <c r="B234" s="401"/>
      <c r="C234" s="406"/>
      <c r="D234" s="406"/>
      <c r="E234" s="406"/>
      <c r="F234" s="406"/>
      <c r="G234" s="406">
        <f t="shared" si="58"/>
        <v>0</v>
      </c>
    </row>
    <row r="235" spans="1:7" ht="22.5">
      <c r="A235" s="444" t="s">
        <v>907</v>
      </c>
      <c r="B235" s="401"/>
      <c r="C235" s="406"/>
      <c r="D235" s="406"/>
      <c r="E235" s="406"/>
      <c r="F235" s="406"/>
      <c r="G235" s="406">
        <f t="shared" si="58"/>
        <v>0</v>
      </c>
    </row>
    <row r="236" spans="1:7">
      <c r="A236" s="444" t="s">
        <v>908</v>
      </c>
      <c r="B236" s="401"/>
      <c r="C236" s="406"/>
      <c r="D236" s="406"/>
      <c r="E236" s="406"/>
      <c r="F236" s="406"/>
      <c r="G236" s="406">
        <f t="shared" si="58"/>
        <v>0</v>
      </c>
    </row>
    <row r="237" spans="1:7">
      <c r="A237" s="444" t="s">
        <v>909</v>
      </c>
      <c r="B237" s="401"/>
      <c r="C237" s="406"/>
      <c r="D237" s="406"/>
      <c r="E237" s="406"/>
      <c r="F237" s="406"/>
      <c r="G237" s="406">
        <f t="shared" si="58"/>
        <v>0</v>
      </c>
    </row>
    <row r="238" spans="1:7">
      <c r="A238" s="443" t="s">
        <v>910</v>
      </c>
      <c r="B238" s="385" t="s">
        <v>779</v>
      </c>
      <c r="C238" s="386">
        <v>1580000</v>
      </c>
      <c r="D238" s="386">
        <v>1580000</v>
      </c>
      <c r="E238" s="386"/>
      <c r="F238" s="386"/>
      <c r="G238" s="386">
        <f t="shared" si="58"/>
        <v>1580000</v>
      </c>
    </row>
    <row r="239" spans="1:7" ht="22.5">
      <c r="A239" s="427" t="s">
        <v>911</v>
      </c>
      <c r="B239" s="401"/>
      <c r="C239" s="406"/>
      <c r="D239" s="406"/>
      <c r="E239" s="406"/>
      <c r="F239" s="406"/>
      <c r="G239" s="406">
        <f t="shared" si="58"/>
        <v>0</v>
      </c>
    </row>
    <row r="240" spans="1:7">
      <c r="A240" s="427" t="s">
        <v>912</v>
      </c>
      <c r="B240" s="401"/>
      <c r="C240" s="406"/>
      <c r="D240" s="406"/>
      <c r="E240" s="406"/>
      <c r="F240" s="406"/>
      <c r="G240" s="406">
        <f t="shared" si="58"/>
        <v>0</v>
      </c>
    </row>
    <row r="241" spans="1:7">
      <c r="A241" s="433" t="s">
        <v>913</v>
      </c>
      <c r="B241" s="385" t="s">
        <v>779</v>
      </c>
      <c r="C241" s="386">
        <f>300000+280000</f>
        <v>580000</v>
      </c>
      <c r="D241" s="386">
        <v>300000</v>
      </c>
      <c r="E241" s="386">
        <v>280000</v>
      </c>
      <c r="F241" s="386"/>
      <c r="G241" s="386">
        <f t="shared" si="58"/>
        <v>580000</v>
      </c>
    </row>
    <row r="242" spans="1:7" ht="24">
      <c r="A242" s="433" t="s">
        <v>914</v>
      </c>
      <c r="B242" s="385" t="s">
        <v>779</v>
      </c>
      <c r="C242" s="386">
        <v>238500</v>
      </c>
      <c r="D242" s="386">
        <v>238500</v>
      </c>
      <c r="E242" s="386"/>
      <c r="F242" s="386"/>
      <c r="G242" s="386">
        <f t="shared" si="58"/>
        <v>238500</v>
      </c>
    </row>
    <row r="243" spans="1:7">
      <c r="A243" s="433" t="s">
        <v>915</v>
      </c>
      <c r="B243" s="385" t="s">
        <v>779</v>
      </c>
      <c r="C243" s="386">
        <f>200000+125000</f>
        <v>325000</v>
      </c>
      <c r="D243" s="386">
        <v>200000</v>
      </c>
      <c r="E243" s="386">
        <v>125000</v>
      </c>
      <c r="F243" s="386">
        <v>68200</v>
      </c>
      <c r="G243" s="386">
        <f t="shared" si="58"/>
        <v>393200</v>
      </c>
    </row>
    <row r="244" spans="1:7">
      <c r="A244" s="433" t="s">
        <v>916</v>
      </c>
      <c r="B244" s="385" t="s">
        <v>779</v>
      </c>
      <c r="C244" s="386">
        <v>150000</v>
      </c>
      <c r="D244" s="386"/>
      <c r="E244" s="386">
        <v>150000</v>
      </c>
      <c r="F244" s="386"/>
      <c r="G244" s="386">
        <f t="shared" si="58"/>
        <v>150000</v>
      </c>
    </row>
    <row r="245" spans="1:7">
      <c r="A245" s="433" t="s">
        <v>917</v>
      </c>
      <c r="B245" s="385" t="s">
        <v>779</v>
      </c>
      <c r="C245" s="386">
        <v>20000</v>
      </c>
      <c r="D245" s="386">
        <v>20000</v>
      </c>
      <c r="E245" s="386"/>
      <c r="F245" s="386"/>
      <c r="G245" s="386">
        <f t="shared" si="58"/>
        <v>20000</v>
      </c>
    </row>
    <row r="246" spans="1:7">
      <c r="A246" s="433" t="s">
        <v>918</v>
      </c>
      <c r="B246" s="385" t="s">
        <v>779</v>
      </c>
      <c r="C246" s="386">
        <v>400000</v>
      </c>
      <c r="D246" s="386">
        <v>400000</v>
      </c>
      <c r="E246" s="386"/>
      <c r="F246" s="386"/>
      <c r="G246" s="386">
        <f t="shared" si="58"/>
        <v>400000</v>
      </c>
    </row>
    <row r="247" spans="1:7">
      <c r="A247" s="387" t="s">
        <v>648</v>
      </c>
      <c r="B247" s="388" t="s">
        <v>777</v>
      </c>
      <c r="C247" s="389">
        <f>C248</f>
        <v>135000</v>
      </c>
      <c r="D247" s="389">
        <f t="shared" ref="D247" si="59">D248</f>
        <v>65000</v>
      </c>
      <c r="E247" s="389"/>
      <c r="F247" s="389"/>
      <c r="G247" s="389">
        <f t="shared" si="58"/>
        <v>65000</v>
      </c>
    </row>
    <row r="248" spans="1:7">
      <c r="A248" s="433" t="s">
        <v>919</v>
      </c>
      <c r="B248" s="385" t="s">
        <v>779</v>
      </c>
      <c r="C248" s="386">
        <v>135000</v>
      </c>
      <c r="D248" s="386">
        <v>65000</v>
      </c>
      <c r="E248" s="386"/>
      <c r="F248" s="386"/>
      <c r="G248" s="386">
        <f t="shared" si="58"/>
        <v>65000</v>
      </c>
    </row>
    <row r="249" spans="1:7">
      <c r="A249" s="387" t="s">
        <v>649</v>
      </c>
      <c r="B249" s="388" t="s">
        <v>777</v>
      </c>
      <c r="C249" s="389">
        <f>C250+C251+C252+C253+C254</f>
        <v>443360</v>
      </c>
      <c r="D249" s="389">
        <f>D250+D251+D252</f>
        <v>326600</v>
      </c>
      <c r="E249" s="389">
        <f>E250+E251+E252+E253+E254</f>
        <v>141760</v>
      </c>
      <c r="F249" s="389">
        <f>F250+F251+F252+F253+F254</f>
        <v>-25000</v>
      </c>
      <c r="G249" s="389">
        <f t="shared" si="58"/>
        <v>443360</v>
      </c>
    </row>
    <row r="250" spans="1:7">
      <c r="A250" s="433" t="s">
        <v>920</v>
      </c>
      <c r="B250" s="385" t="s">
        <v>779</v>
      </c>
      <c r="C250" s="386">
        <v>300000</v>
      </c>
      <c r="D250" s="386">
        <v>300000</v>
      </c>
      <c r="E250" s="386"/>
      <c r="F250" s="386"/>
      <c r="G250" s="386">
        <f t="shared" si="58"/>
        <v>300000</v>
      </c>
    </row>
    <row r="251" spans="1:7">
      <c r="A251" s="433" t="s">
        <v>921</v>
      </c>
      <c r="B251" s="385" t="s">
        <v>779</v>
      </c>
      <c r="C251" s="386">
        <v>1600</v>
      </c>
      <c r="D251" s="386">
        <v>1600</v>
      </c>
      <c r="E251" s="386"/>
      <c r="F251" s="386"/>
      <c r="G251" s="386">
        <f t="shared" si="58"/>
        <v>1600</v>
      </c>
    </row>
    <row r="252" spans="1:7">
      <c r="A252" s="433" t="s">
        <v>922</v>
      </c>
      <c r="B252" s="385" t="s">
        <v>779</v>
      </c>
      <c r="C252" s="386">
        <v>0</v>
      </c>
      <c r="D252" s="386">
        <v>25000</v>
      </c>
      <c r="E252" s="386"/>
      <c r="F252" s="386">
        <v>-25000</v>
      </c>
      <c r="G252" s="386">
        <f t="shared" si="58"/>
        <v>0</v>
      </c>
    </row>
    <row r="253" spans="1:7" ht="25.5">
      <c r="A253" s="433" t="s">
        <v>923</v>
      </c>
      <c r="B253" s="385" t="s">
        <v>779</v>
      </c>
      <c r="C253" s="386">
        <v>10800</v>
      </c>
      <c r="D253" s="386"/>
      <c r="E253" s="386">
        <v>10800</v>
      </c>
      <c r="F253" s="386"/>
      <c r="G253" s="386">
        <f t="shared" si="58"/>
        <v>10800</v>
      </c>
    </row>
    <row r="254" spans="1:7">
      <c r="A254" s="433" t="s">
        <v>924</v>
      </c>
      <c r="B254" s="385" t="s">
        <v>779</v>
      </c>
      <c r="C254" s="386">
        <v>130960</v>
      </c>
      <c r="D254" s="386"/>
      <c r="E254" s="386">
        <v>130960</v>
      </c>
      <c r="F254" s="386"/>
      <c r="G254" s="386">
        <f t="shared" si="58"/>
        <v>130960</v>
      </c>
    </row>
    <row r="255" spans="1:7">
      <c r="A255" s="387" t="s">
        <v>650</v>
      </c>
      <c r="B255" s="388" t="s">
        <v>777</v>
      </c>
      <c r="C255" s="389">
        <f>C256</f>
        <v>200000</v>
      </c>
      <c r="D255" s="389">
        <f t="shared" ref="D255" si="60">D256</f>
        <v>200000</v>
      </c>
      <c r="E255" s="389"/>
      <c r="F255" s="389"/>
      <c r="G255" s="389">
        <f t="shared" si="58"/>
        <v>200000</v>
      </c>
    </row>
    <row r="256" spans="1:7">
      <c r="A256" s="433" t="s">
        <v>925</v>
      </c>
      <c r="B256" s="385" t="s">
        <v>779</v>
      </c>
      <c r="C256" s="386">
        <v>200000</v>
      </c>
      <c r="D256" s="386">
        <v>200000</v>
      </c>
      <c r="E256" s="386"/>
      <c r="F256" s="386"/>
      <c r="G256" s="386">
        <f t="shared" si="58"/>
        <v>200000</v>
      </c>
    </row>
    <row r="257" spans="1:7" ht="12.75" customHeight="1">
      <c r="A257" s="370"/>
      <c r="B257" s="371"/>
      <c r="C257" s="371"/>
      <c r="D257" s="372"/>
      <c r="E257" s="372"/>
      <c r="F257" s="372"/>
      <c r="G257" s="372">
        <f t="shared" ref="G214:G257" si="61">SUM(D257:D257)</f>
        <v>0</v>
      </c>
    </row>
    <row r="258" spans="1:7" ht="12.75" customHeight="1">
      <c r="A258" s="535" t="s">
        <v>926</v>
      </c>
      <c r="B258" s="536"/>
      <c r="C258" s="536"/>
      <c r="D258" s="536"/>
      <c r="E258" s="536"/>
      <c r="F258" s="536"/>
      <c r="G258" s="537"/>
    </row>
    <row r="259" spans="1:7">
      <c r="A259" s="445" t="s">
        <v>927</v>
      </c>
      <c r="B259" s="446" t="s">
        <v>777</v>
      </c>
      <c r="C259" s="383">
        <f>C260+C265+C269+C271</f>
        <v>9994000</v>
      </c>
      <c r="D259" s="383">
        <f>D260+D265+D269+D271</f>
        <v>6744000</v>
      </c>
      <c r="E259" s="383">
        <f>E260+E265+E269+E271</f>
        <v>300000</v>
      </c>
      <c r="F259" s="383">
        <f>F260+F265+F269+F271</f>
        <v>4606420</v>
      </c>
      <c r="G259" s="383">
        <f t="shared" ref="G259:G272" si="62">SUM(D259:F259)</f>
        <v>11650420</v>
      </c>
    </row>
    <row r="260" spans="1:7">
      <c r="A260" s="387" t="s">
        <v>651</v>
      </c>
      <c r="B260" s="388" t="s">
        <v>779</v>
      </c>
      <c r="C260" s="389">
        <f>C261+C262</f>
        <v>850000</v>
      </c>
      <c r="D260" s="389">
        <f t="shared" ref="D260:E260" si="63">D261+D262</f>
        <v>600000</v>
      </c>
      <c r="E260" s="389">
        <f t="shared" si="63"/>
        <v>250000</v>
      </c>
      <c r="F260" s="389">
        <f>F261+F262+F263+F264</f>
        <v>120000</v>
      </c>
      <c r="G260" s="389">
        <f t="shared" si="62"/>
        <v>970000</v>
      </c>
    </row>
    <row r="261" spans="1:7">
      <c r="A261" s="433" t="s">
        <v>1076</v>
      </c>
      <c r="B261" s="385" t="s">
        <v>779</v>
      </c>
      <c r="C261" s="386">
        <v>600000</v>
      </c>
      <c r="D261" s="386">
        <v>600000</v>
      </c>
      <c r="E261" s="386"/>
      <c r="F261" s="386"/>
      <c r="G261" s="386">
        <f t="shared" si="62"/>
        <v>600000</v>
      </c>
    </row>
    <row r="262" spans="1:7">
      <c r="A262" s="433" t="s">
        <v>928</v>
      </c>
      <c r="B262" s="385" t="s">
        <v>779</v>
      </c>
      <c r="C262" s="386">
        <v>250000</v>
      </c>
      <c r="D262" s="386"/>
      <c r="E262" s="386">
        <v>250000</v>
      </c>
      <c r="F262" s="386"/>
      <c r="G262" s="386">
        <f t="shared" si="62"/>
        <v>250000</v>
      </c>
    </row>
    <row r="263" spans="1:7">
      <c r="A263" s="439" t="s">
        <v>1074</v>
      </c>
      <c r="B263" s="385" t="s">
        <v>779</v>
      </c>
      <c r="C263" s="386"/>
      <c r="D263" s="386"/>
      <c r="E263" s="386"/>
      <c r="F263" s="386">
        <v>100000</v>
      </c>
      <c r="G263" s="386">
        <f t="shared" si="62"/>
        <v>100000</v>
      </c>
    </row>
    <row r="264" spans="1:7">
      <c r="A264" s="433" t="s">
        <v>1075</v>
      </c>
      <c r="B264" s="385" t="s">
        <v>779</v>
      </c>
      <c r="C264" s="386"/>
      <c r="D264" s="386"/>
      <c r="E264" s="386"/>
      <c r="F264" s="386">
        <v>20000</v>
      </c>
      <c r="G264" s="386">
        <f t="shared" si="62"/>
        <v>20000</v>
      </c>
    </row>
    <row r="265" spans="1:7">
      <c r="A265" s="387" t="s">
        <v>652</v>
      </c>
      <c r="B265" s="388" t="s">
        <v>777</v>
      </c>
      <c r="C265" s="389">
        <f>SUM(C266:C268)</f>
        <v>4684000</v>
      </c>
      <c r="D265" s="389">
        <f t="shared" ref="D265" si="64">SUM(D266:D268)</f>
        <v>1684000</v>
      </c>
      <c r="E265" s="389"/>
      <c r="F265" s="389"/>
      <c r="G265" s="389">
        <f t="shared" si="62"/>
        <v>1684000</v>
      </c>
    </row>
    <row r="266" spans="1:7">
      <c r="A266" s="433" t="s">
        <v>929</v>
      </c>
      <c r="B266" s="385" t="s">
        <v>779</v>
      </c>
      <c r="C266" s="386">
        <v>4600000</v>
      </c>
      <c r="D266" s="386">
        <v>1600000</v>
      </c>
      <c r="E266" s="386"/>
      <c r="F266" s="386"/>
      <c r="G266" s="386">
        <f t="shared" si="62"/>
        <v>1600000</v>
      </c>
    </row>
    <row r="267" spans="1:7">
      <c r="A267" s="433" t="s">
        <v>930</v>
      </c>
      <c r="B267" s="385" t="s">
        <v>779</v>
      </c>
      <c r="C267" s="386">
        <v>20000</v>
      </c>
      <c r="D267" s="386">
        <v>20000</v>
      </c>
      <c r="E267" s="386"/>
      <c r="F267" s="386"/>
      <c r="G267" s="386">
        <f t="shared" si="62"/>
        <v>20000</v>
      </c>
    </row>
    <row r="268" spans="1:7">
      <c r="A268" s="433" t="s">
        <v>931</v>
      </c>
      <c r="B268" s="385" t="s">
        <v>779</v>
      </c>
      <c r="C268" s="386">
        <v>64000</v>
      </c>
      <c r="D268" s="386">
        <v>64000</v>
      </c>
      <c r="E268" s="386"/>
      <c r="F268" s="386"/>
      <c r="G268" s="386">
        <f t="shared" si="62"/>
        <v>64000</v>
      </c>
    </row>
    <row r="269" spans="1:7">
      <c r="A269" s="387" t="s">
        <v>642</v>
      </c>
      <c r="B269" s="388" t="s">
        <v>777</v>
      </c>
      <c r="C269" s="389">
        <f>C270</f>
        <v>4200000</v>
      </c>
      <c r="D269" s="389">
        <f t="shared" ref="D269:F269" si="65">D270</f>
        <v>4200000</v>
      </c>
      <c r="E269" s="389">
        <f t="shared" si="65"/>
        <v>0</v>
      </c>
      <c r="F269" s="389">
        <f t="shared" si="65"/>
        <v>4600000</v>
      </c>
      <c r="G269" s="389">
        <f t="shared" si="62"/>
        <v>8800000</v>
      </c>
    </row>
    <row r="270" spans="1:7" ht="25.5">
      <c r="A270" s="378" t="s">
        <v>932</v>
      </c>
      <c r="B270" s="393"/>
      <c r="C270" s="394">
        <v>4200000</v>
      </c>
      <c r="D270" s="394">
        <v>4200000</v>
      </c>
      <c r="E270" s="394"/>
      <c r="F270" s="394">
        <v>4600000</v>
      </c>
      <c r="G270" s="394">
        <f t="shared" si="62"/>
        <v>8800000</v>
      </c>
    </row>
    <row r="271" spans="1:7">
      <c r="A271" s="387" t="s">
        <v>650</v>
      </c>
      <c r="B271" s="388" t="s">
        <v>777</v>
      </c>
      <c r="C271" s="389">
        <f>C272</f>
        <v>260000</v>
      </c>
      <c r="D271" s="389">
        <f t="shared" ref="D271:F271" si="66">D272</f>
        <v>260000</v>
      </c>
      <c r="E271" s="389">
        <f t="shared" si="66"/>
        <v>50000</v>
      </c>
      <c r="F271" s="389">
        <f t="shared" si="66"/>
        <v>-113580</v>
      </c>
      <c r="G271" s="389">
        <f t="shared" si="62"/>
        <v>196420</v>
      </c>
    </row>
    <row r="272" spans="1:7">
      <c r="A272" s="433" t="s">
        <v>933</v>
      </c>
      <c r="B272" s="385" t="s">
        <v>779</v>
      </c>
      <c r="C272" s="386">
        <v>260000</v>
      </c>
      <c r="D272" s="386">
        <v>260000</v>
      </c>
      <c r="E272" s="386">
        <v>50000</v>
      </c>
      <c r="F272" s="386">
        <v>-113580</v>
      </c>
      <c r="G272" s="386">
        <f t="shared" si="62"/>
        <v>196420</v>
      </c>
    </row>
    <row r="273" spans="1:7">
      <c r="A273" s="447"/>
      <c r="B273" s="448"/>
      <c r="C273" s="449"/>
      <c r="D273" s="450"/>
      <c r="E273" s="451"/>
      <c r="F273" s="451"/>
      <c r="G273" s="451">
        <f t="shared" ref="G273:G282" si="67">SUM(D273:E273)</f>
        <v>0</v>
      </c>
    </row>
    <row r="274" spans="1:7" ht="12.75" customHeight="1">
      <c r="A274" s="532" t="s">
        <v>934</v>
      </c>
      <c r="B274" s="533"/>
      <c r="C274" s="533"/>
      <c r="D274" s="533"/>
      <c r="E274" s="533"/>
      <c r="F274" s="533"/>
      <c r="G274" s="534">
        <f t="shared" si="67"/>
        <v>0</v>
      </c>
    </row>
    <row r="275" spans="1:7" ht="12.75" customHeight="1">
      <c r="A275" s="378" t="s">
        <v>655</v>
      </c>
      <c r="B275" s="394" t="s">
        <v>777</v>
      </c>
      <c r="C275" s="394"/>
      <c r="D275" s="394">
        <f>D276+D277</f>
        <v>14627977</v>
      </c>
      <c r="E275" s="394"/>
      <c r="F275" s="394"/>
      <c r="G275" s="394">
        <f t="shared" ref="G275:G282" si="68">SUM(D275:F275)</f>
        <v>14627977</v>
      </c>
    </row>
    <row r="276" spans="1:7" ht="12.75" customHeight="1">
      <c r="A276" s="452" t="s">
        <v>935</v>
      </c>
      <c r="B276" s="406" t="s">
        <v>779</v>
      </c>
      <c r="C276" s="406"/>
      <c r="D276" s="406">
        <v>13585617</v>
      </c>
      <c r="E276" s="406"/>
      <c r="F276" s="406"/>
      <c r="G276" s="406">
        <f t="shared" si="68"/>
        <v>13585617</v>
      </c>
    </row>
    <row r="277" spans="1:7">
      <c r="A277" s="452" t="s">
        <v>936</v>
      </c>
      <c r="B277" s="406" t="s">
        <v>779</v>
      </c>
      <c r="C277" s="406"/>
      <c r="D277" s="406">
        <v>1042360</v>
      </c>
      <c r="E277" s="406"/>
      <c r="F277" s="406"/>
      <c r="G277" s="406">
        <f t="shared" si="68"/>
        <v>1042360</v>
      </c>
    </row>
    <row r="278" spans="1:7">
      <c r="A278" s="433" t="s">
        <v>937</v>
      </c>
      <c r="B278" s="386" t="s">
        <v>777</v>
      </c>
      <c r="C278" s="386"/>
      <c r="D278" s="386">
        <f>D279+D280</f>
        <v>10156000</v>
      </c>
      <c r="E278" s="386"/>
      <c r="F278" s="386"/>
      <c r="G278" s="386">
        <f t="shared" si="68"/>
        <v>10156000</v>
      </c>
    </row>
    <row r="279" spans="1:7">
      <c r="A279" s="452" t="s">
        <v>222</v>
      </c>
      <c r="B279" s="406" t="s">
        <v>779</v>
      </c>
      <c r="C279" s="406"/>
      <c r="D279" s="406">
        <v>2390000</v>
      </c>
      <c r="E279" s="406"/>
      <c r="F279" s="406"/>
      <c r="G279" s="406">
        <f t="shared" si="68"/>
        <v>2390000</v>
      </c>
    </row>
    <row r="280" spans="1:7">
      <c r="A280" s="452" t="s">
        <v>223</v>
      </c>
      <c r="B280" s="406" t="s">
        <v>779</v>
      </c>
      <c r="C280" s="406"/>
      <c r="D280" s="406">
        <v>7766000</v>
      </c>
      <c r="E280" s="406"/>
      <c r="F280" s="406"/>
      <c r="G280" s="406">
        <f t="shared" si="68"/>
        <v>7766000</v>
      </c>
    </row>
    <row r="281" spans="1:7">
      <c r="A281" s="387" t="s">
        <v>938</v>
      </c>
      <c r="B281" s="453" t="s">
        <v>777</v>
      </c>
      <c r="C281" s="453"/>
      <c r="D281" s="389">
        <f>D275+D278</f>
        <v>24783977</v>
      </c>
      <c r="E281" s="389"/>
      <c r="F281" s="389"/>
      <c r="G281" s="389">
        <f t="shared" si="68"/>
        <v>24783977</v>
      </c>
    </row>
    <row r="282" spans="1:7" ht="12.75" customHeight="1">
      <c r="A282" s="454"/>
      <c r="B282" s="455"/>
      <c r="C282" s="456"/>
      <c r="D282" s="457"/>
      <c r="E282" s="457"/>
      <c r="F282" s="457"/>
      <c r="G282" s="457">
        <f t="shared" si="68"/>
        <v>0</v>
      </c>
    </row>
    <row r="283" spans="1:7" ht="12.75" customHeight="1">
      <c r="A283" s="532" t="s">
        <v>939</v>
      </c>
      <c r="B283" s="533"/>
      <c r="C283" s="533"/>
      <c r="D283" s="533"/>
      <c r="E283" s="533"/>
      <c r="F283" s="533"/>
      <c r="G283" s="534"/>
    </row>
    <row r="284" spans="1:7">
      <c r="A284" s="378" t="s">
        <v>940</v>
      </c>
      <c r="B284" s="393" t="s">
        <v>779</v>
      </c>
      <c r="C284" s="394"/>
      <c r="D284" s="394">
        <v>300000</v>
      </c>
      <c r="E284" s="394"/>
      <c r="F284" s="394"/>
      <c r="G284" s="394">
        <f>SUM(D284:F284)</f>
        <v>300000</v>
      </c>
    </row>
    <row r="285" spans="1:7">
      <c r="A285" s="454"/>
      <c r="B285" s="455"/>
      <c r="C285" s="456"/>
      <c r="D285" s="457"/>
      <c r="E285" s="457"/>
      <c r="F285" s="457"/>
      <c r="G285" s="457">
        <f t="shared" ref="G285:G286" si="69">SUM(D285:E285)</f>
        <v>0</v>
      </c>
    </row>
    <row r="286" spans="1:7">
      <c r="A286" s="532" t="s">
        <v>941</v>
      </c>
      <c r="B286" s="533"/>
      <c r="C286" s="533"/>
      <c r="D286" s="533"/>
      <c r="E286" s="533"/>
      <c r="F286" s="533"/>
      <c r="G286" s="534">
        <f t="shared" si="69"/>
        <v>0</v>
      </c>
    </row>
    <row r="287" spans="1:7">
      <c r="A287" s="458" t="s">
        <v>942</v>
      </c>
      <c r="B287" s="459" t="s">
        <v>779</v>
      </c>
      <c r="C287" s="460"/>
      <c r="D287" s="460">
        <f>D288</f>
        <v>260000</v>
      </c>
      <c r="E287" s="460"/>
      <c r="F287" s="460"/>
      <c r="G287" s="460">
        <f t="shared" ref="G287:G289" si="70">SUM(D287:F287)</f>
        <v>260000</v>
      </c>
    </row>
    <row r="288" spans="1:7">
      <c r="A288" s="461" t="s">
        <v>943</v>
      </c>
      <c r="B288" s="385" t="s">
        <v>779</v>
      </c>
      <c r="C288" s="386"/>
      <c r="D288" s="386">
        <v>260000</v>
      </c>
      <c r="E288" s="386"/>
      <c r="F288" s="386"/>
      <c r="G288" s="386">
        <f t="shared" si="70"/>
        <v>260000</v>
      </c>
    </row>
    <row r="289" spans="1:7">
      <c r="A289" s="458" t="s">
        <v>944</v>
      </c>
      <c r="B289" s="459" t="s">
        <v>779</v>
      </c>
      <c r="C289" s="460"/>
      <c r="D289" s="460"/>
      <c r="E289" s="460">
        <f>E290</f>
        <v>4999990</v>
      </c>
      <c r="F289" s="460">
        <f>F290</f>
        <v>1000000</v>
      </c>
      <c r="G289" s="460">
        <f t="shared" si="70"/>
        <v>5999990</v>
      </c>
    </row>
    <row r="290" spans="1:7">
      <c r="A290" s="461" t="s">
        <v>945</v>
      </c>
      <c r="B290" s="385" t="s">
        <v>779</v>
      </c>
      <c r="C290" s="386"/>
      <c r="D290" s="386"/>
      <c r="E290" s="386">
        <v>4999990</v>
      </c>
      <c r="F290" s="386">
        <v>1000000</v>
      </c>
      <c r="G290" s="386">
        <f t="shared" ref="G287:G296" si="71">SUM(D290:D290)</f>
        <v>0</v>
      </c>
    </row>
    <row r="291" spans="1:7">
      <c r="A291" s="462" t="s">
        <v>946</v>
      </c>
      <c r="B291" s="463" t="s">
        <v>777</v>
      </c>
      <c r="C291" s="463"/>
      <c r="D291" s="463">
        <f>D292+D294+D295+D296</f>
        <v>113302944</v>
      </c>
      <c r="E291" s="463">
        <f>E292+E294+E295+E296+E293</f>
        <v>9257911</v>
      </c>
      <c r="F291" s="463">
        <f>F292+F294+F295+F296+F293</f>
        <v>4349270</v>
      </c>
      <c r="G291" s="463">
        <f t="shared" ref="G291:G297" si="72">SUM(D291:F291)</f>
        <v>126910125</v>
      </c>
    </row>
    <row r="292" spans="1:7">
      <c r="A292" s="375" t="s">
        <v>778</v>
      </c>
      <c r="B292" s="376" t="s">
        <v>779</v>
      </c>
      <c r="C292" s="377"/>
      <c r="D292" s="377">
        <f>D8+D281+D284+D288</f>
        <v>89046038</v>
      </c>
      <c r="E292" s="377">
        <f>E8+E281+E284+E288+E290</f>
        <v>8447031</v>
      </c>
      <c r="F292" s="377">
        <f>F8+F281+F284+F288+F290</f>
        <v>4349270</v>
      </c>
      <c r="G292" s="377">
        <f t="shared" si="72"/>
        <v>101842339</v>
      </c>
    </row>
    <row r="293" spans="1:7">
      <c r="A293" s="375"/>
      <c r="B293" s="376" t="s">
        <v>780</v>
      </c>
      <c r="C293" s="377"/>
      <c r="D293" s="377"/>
      <c r="E293" s="377">
        <f>E75</f>
        <v>56033</v>
      </c>
      <c r="F293" s="377">
        <f>F75</f>
        <v>0</v>
      </c>
      <c r="G293" s="377">
        <f t="shared" si="72"/>
        <v>56033</v>
      </c>
    </row>
    <row r="294" spans="1:7">
      <c r="A294" s="375"/>
      <c r="B294" s="376" t="s">
        <v>781</v>
      </c>
      <c r="C294" s="377"/>
      <c r="D294" s="377">
        <f t="shared" ref="D294:E296" si="73">D10</f>
        <v>551632</v>
      </c>
      <c r="E294" s="377">
        <f t="shared" si="73"/>
        <v>0</v>
      </c>
      <c r="F294" s="377">
        <f t="shared" ref="F294" si="74">F10</f>
        <v>0</v>
      </c>
      <c r="G294" s="377">
        <f t="shared" si="72"/>
        <v>551632</v>
      </c>
    </row>
    <row r="295" spans="1:7">
      <c r="A295" s="375"/>
      <c r="B295" s="376" t="s">
        <v>782</v>
      </c>
      <c r="C295" s="377"/>
      <c r="D295" s="377">
        <f t="shared" si="73"/>
        <v>3222980</v>
      </c>
      <c r="E295" s="377">
        <f t="shared" si="73"/>
        <v>584251</v>
      </c>
      <c r="F295" s="377">
        <f t="shared" ref="F295" si="75">F11</f>
        <v>0</v>
      </c>
      <c r="G295" s="377">
        <f t="shared" si="72"/>
        <v>3807231</v>
      </c>
    </row>
    <row r="296" spans="1:7">
      <c r="A296" s="378"/>
      <c r="B296" s="376" t="s">
        <v>783</v>
      </c>
      <c r="C296" s="377"/>
      <c r="D296" s="377">
        <f t="shared" si="73"/>
        <v>20482294</v>
      </c>
      <c r="E296" s="377">
        <f t="shared" si="73"/>
        <v>170596</v>
      </c>
      <c r="F296" s="377">
        <f t="shared" ref="F296" si="76">F12</f>
        <v>0</v>
      </c>
      <c r="G296" s="377">
        <f t="shared" si="72"/>
        <v>20652890</v>
      </c>
    </row>
    <row r="297" spans="1:7" ht="14.25" customHeight="1">
      <c r="A297" s="434"/>
      <c r="B297" s="464"/>
      <c r="C297" s="451"/>
      <c r="D297" s="451"/>
      <c r="E297" s="451"/>
      <c r="F297" s="451"/>
      <c r="G297" s="451"/>
    </row>
    <row r="298" spans="1:7" ht="14.25" customHeight="1">
      <c r="A298" s="465" t="s">
        <v>947</v>
      </c>
      <c r="B298" s="464"/>
      <c r="C298" s="466"/>
      <c r="D298" s="467"/>
      <c r="E298" s="467"/>
      <c r="F298" s="467"/>
      <c r="G298" s="467"/>
    </row>
    <row r="299" spans="1:7" ht="14.25">
      <c r="A299" s="464" t="s">
        <v>948</v>
      </c>
      <c r="B299" s="464"/>
      <c r="C299" s="466"/>
      <c r="D299" s="467"/>
      <c r="E299" s="467"/>
      <c r="F299" s="467"/>
      <c r="G299" s="467"/>
    </row>
    <row r="300" spans="1:7" ht="14.25">
      <c r="A300" s="465" t="s">
        <v>949</v>
      </c>
      <c r="B300" s="464"/>
      <c r="C300" s="466"/>
      <c r="D300" s="467"/>
      <c r="E300" s="467"/>
      <c r="F300" s="467"/>
      <c r="G300" s="467"/>
    </row>
    <row r="301" spans="1:7" ht="14.25">
      <c r="A301" s="465" t="s">
        <v>950</v>
      </c>
      <c r="B301" s="464"/>
      <c r="C301" s="466"/>
      <c r="D301" s="467"/>
      <c r="E301" s="467"/>
      <c r="F301" s="467"/>
      <c r="G301" s="467"/>
    </row>
    <row r="302" spans="1:7" ht="14.25">
      <c r="A302" s="465" t="s">
        <v>951</v>
      </c>
      <c r="B302" s="464"/>
      <c r="C302" s="466"/>
      <c r="D302" s="467"/>
      <c r="E302" s="467"/>
      <c r="F302" s="467"/>
      <c r="G302" s="467"/>
    </row>
    <row r="303" spans="1:7" ht="24">
      <c r="A303" s="468" t="s">
        <v>952</v>
      </c>
      <c r="B303" s="468"/>
      <c r="C303" s="468"/>
      <c r="D303" s="467"/>
      <c r="E303" s="467"/>
      <c r="F303" s="467"/>
      <c r="G303" s="467"/>
    </row>
    <row r="304" spans="1:7" ht="36">
      <c r="A304" s="468" t="s">
        <v>953</v>
      </c>
      <c r="B304" s="468"/>
      <c r="C304" s="468"/>
      <c r="D304" s="467"/>
      <c r="E304" s="467"/>
      <c r="F304" s="467"/>
      <c r="G304" s="467"/>
    </row>
    <row r="305" spans="1:7" ht="14.25">
      <c r="A305" s="468"/>
      <c r="B305" s="468"/>
      <c r="C305" s="468"/>
      <c r="D305" s="467"/>
      <c r="E305" s="467"/>
      <c r="F305" s="467"/>
      <c r="G305" s="467"/>
    </row>
    <row r="306" spans="1:7" ht="14.25">
      <c r="A306" s="468"/>
      <c r="B306" s="468"/>
      <c r="C306" s="468"/>
      <c r="D306" s="467"/>
      <c r="E306" s="467"/>
      <c r="F306" s="467"/>
      <c r="G306" s="467"/>
    </row>
    <row r="307" spans="1:7" ht="14.25">
      <c r="A307" s="468"/>
      <c r="B307" s="468"/>
      <c r="C307" s="468"/>
      <c r="D307" s="467"/>
      <c r="E307" s="467"/>
      <c r="F307" s="467"/>
      <c r="G307" s="467"/>
    </row>
    <row r="308" spans="1:7" ht="14.25">
      <c r="A308" s="468"/>
      <c r="B308" s="468"/>
      <c r="C308" s="468"/>
      <c r="D308" s="467"/>
      <c r="E308" s="467"/>
      <c r="F308" s="467"/>
      <c r="G308" s="467"/>
    </row>
    <row r="309" spans="1:7" ht="14.25" customHeight="1">
      <c r="A309" s="361"/>
      <c r="B309" s="468"/>
      <c r="C309" s="468"/>
      <c r="D309" s="467"/>
      <c r="E309" s="467"/>
      <c r="F309" s="467"/>
      <c r="G309" s="467"/>
    </row>
    <row r="310" spans="1:7" ht="14.25">
      <c r="A310" s="361"/>
      <c r="B310" s="468"/>
      <c r="C310" s="468"/>
      <c r="D310" s="467"/>
      <c r="E310" s="467"/>
      <c r="F310" s="467"/>
      <c r="G310" s="467"/>
    </row>
  </sheetData>
  <mergeCells count="7">
    <mergeCell ref="A6:G6"/>
    <mergeCell ref="A21:G21"/>
    <mergeCell ref="A283:G283"/>
    <mergeCell ref="A286:G286"/>
    <mergeCell ref="A274:G274"/>
    <mergeCell ref="A258:G258"/>
    <mergeCell ref="A72:D72"/>
  </mergeCells>
  <pageMargins left="1.1811023622047245" right="0.47244094488188981" top="0.47244094488188981" bottom="0.98425196850393704" header="0.23622047244094491" footer="0.19685039370078741"/>
  <pageSetup paperSize="9" scale="9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ÕIGUSAKTID</vt:lpstr>
      <vt:lpstr>1 KOONDEELARVE</vt:lpstr>
      <vt:lpstr>2 TULUDE KOOND</vt:lpstr>
      <vt:lpstr>2.1 LK TULUD</vt:lpstr>
      <vt:lpstr>Sheet2</vt:lpstr>
      <vt:lpstr>2.2 OMATULUD</vt:lpstr>
      <vt:lpstr>2.3 TOETUSED</vt:lpstr>
      <vt:lpstr>3 KULUD</vt:lpstr>
      <vt:lpstr>4 INVEST</vt:lpstr>
      <vt:lpstr>5 FIN.TEH</vt:lpstr>
      <vt:lpstr>6 RAHAKÄIVE</vt:lpstr>
      <vt:lpstr>7 LIIGENDUS</vt:lpstr>
      <vt:lpstr>'2 TULUDE KOOND'!Print_Titles</vt:lpstr>
      <vt:lpstr>'4 INVEST'!Print_Titles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2015-12-21T07:15:22Z</cp:lastPrinted>
  <dcterms:created xsi:type="dcterms:W3CDTF">2011-11-17T06:19:29Z</dcterms:created>
  <dcterms:modified xsi:type="dcterms:W3CDTF">2016-11-29T08:27:10Z</dcterms:modified>
</cp:coreProperties>
</file>