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18\Täpsustatud eelarve\Veebi\"/>
    </mc:Choice>
  </mc:AlternateContent>
  <bookViews>
    <workbookView xWindow="-15" yWindow="45" windowWidth="11520" windowHeight="6825"/>
  </bookViews>
  <sheets>
    <sheet name="Õigusaktid" sheetId="61" r:id="rId1"/>
    <sheet name="1 KOONDEELARVE" sheetId="5" r:id="rId2"/>
    <sheet name="2 TULUDE KOOND" sheetId="6" r:id="rId3"/>
    <sheet name="2.1 LK TULUD" sheetId="7" r:id="rId4"/>
    <sheet name="Sheet2" sheetId="15" state="hidden" r:id="rId5"/>
    <sheet name="2.2 OMATULUD" sheetId="4" r:id="rId6"/>
    <sheet name="2.3 TOETUSED" sheetId="12" r:id="rId7"/>
    <sheet name="3 KULUD" sheetId="8" r:id="rId8"/>
    <sheet name="4 INVEST" sheetId="60" r:id="rId9"/>
    <sheet name="5 FIN.TEH" sheetId="11" r:id="rId10"/>
    <sheet name="6 RAHAKÄIVE" sheetId="10" r:id="rId11"/>
    <sheet name="7 LIIGENDUS" sheetId="13" r:id="rId12"/>
    <sheet name="Valdkonnad" sheetId="17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1" hidden="1">'1 KOONDEELARVE'!$A$7:$D$79</definedName>
    <definedName name="_xlnm._FilterDatabase" localSheetId="2" hidden="1">'2 TULUDE KOOND'!$A$5:$E$57</definedName>
    <definedName name="_xlnm._FilterDatabase" localSheetId="3" hidden="1">'2.1 LK TULUD'!$A$4:$D$74</definedName>
    <definedName name="_xlnm._FilterDatabase" localSheetId="5" hidden="1">'2.2 OMATULUD'!$A$4:$D$803</definedName>
    <definedName name="_xlnm._FilterDatabase" localSheetId="6" hidden="1">'2.3 TOETUSED'!$A$4:$D$121</definedName>
    <definedName name="_xlnm._FilterDatabase" localSheetId="7" hidden="1">'3 KULUD'!$C$4:$G$1931</definedName>
    <definedName name="_xlnm._FilterDatabase" localSheetId="8" hidden="1">'4 INVEST'!$C$5:$J$276</definedName>
    <definedName name="_xlnm._FilterDatabase" localSheetId="11" hidden="1">'7 LIIGENDUS'!$A$4:$D$41</definedName>
    <definedName name="a" localSheetId="8">'[1]8 KULUD'!#REF!</definedName>
    <definedName name="a">'[1]8 KULUD'!#REF!</definedName>
    <definedName name="ee" localSheetId="8">OFFSET(job_levels_range,0,0,COUNTA(job_levels_range),1)</definedName>
    <definedName name="ee">OFFSET(job_levels_range,0,0,COUNTA(job_levels_range),1)</definedName>
    <definedName name="job_levels" localSheetId="8">OFFSET(job_levels_range,0,0,COUNTA(job_levels_range),1)</definedName>
    <definedName name="job_levels">OFFSET(job_levels_range,0,0,COUNTA(job_levels_range),1)</definedName>
    <definedName name="job_names" localSheetId="8">OFFSET(job_names_range,0,0,COUNTA(job_names_range),1)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nn">OFFSET(job_names_range,0,0,COUNTA(job_names_range),1)</definedName>
    <definedName name="OLE_LINK1" localSheetId="7">'3 KULUD'!#REF!</definedName>
    <definedName name="_xlnm.Print_Titles" localSheetId="2">'2 TULUDE KOOND'!$5:$5</definedName>
    <definedName name="_xlnm.Print_Titles" localSheetId="3">'2.1 LK TULUD'!$3:$4</definedName>
    <definedName name="_xlnm.Print_Titles" localSheetId="5">'2.2 OMATULUD'!$3:$4</definedName>
    <definedName name="_xlnm.Print_Titles" localSheetId="6">'2.3 TOETUSED'!$3:$4</definedName>
    <definedName name="_xlnm.Print_Titles" localSheetId="7">'3 KULUD'!$3:$4</definedName>
    <definedName name="_xlnm.Print_Titles" localSheetId="8">'4 INVEST'!#REF!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 localSheetId="8">OFFSET(job_levels_range,0,0,COUNTA(job_levels_range),1)</definedName>
    <definedName name="test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I201" i="60" l="1"/>
  <c r="F201" i="60"/>
  <c r="E201" i="60"/>
  <c r="I257" i="60" l="1"/>
  <c r="I297" i="60" s="1"/>
  <c r="F257" i="60"/>
  <c r="F297" i="60" s="1"/>
  <c r="E179" i="60"/>
  <c r="G230" i="60"/>
  <c r="I306" i="60"/>
  <c r="F306" i="60"/>
  <c r="I290" i="60"/>
  <c r="F290" i="60"/>
  <c r="J276" i="60"/>
  <c r="G276" i="60"/>
  <c r="J275" i="60"/>
  <c r="G275" i="60"/>
  <c r="J274" i="60"/>
  <c r="G274" i="60"/>
  <c r="J273" i="60"/>
  <c r="G273" i="60"/>
  <c r="J272" i="60"/>
  <c r="G272" i="60"/>
  <c r="J271" i="60"/>
  <c r="G271" i="60"/>
  <c r="J270" i="60"/>
  <c r="G270" i="60"/>
  <c r="H269" i="60"/>
  <c r="H290" i="60" s="1"/>
  <c r="E269" i="60"/>
  <c r="E290" i="60" s="1"/>
  <c r="J268" i="60"/>
  <c r="G268" i="60"/>
  <c r="H267" i="60"/>
  <c r="H306" i="60" s="1"/>
  <c r="E267" i="60"/>
  <c r="G267" i="60" s="1"/>
  <c r="G306" i="60" s="1"/>
  <c r="J266" i="60"/>
  <c r="G266" i="60"/>
  <c r="A266" i="60"/>
  <c r="H265" i="60"/>
  <c r="J265" i="60" s="1"/>
  <c r="E265" i="60"/>
  <c r="J264" i="60"/>
  <c r="G264" i="60"/>
  <c r="J263" i="60"/>
  <c r="G263" i="60"/>
  <c r="J262" i="60"/>
  <c r="G262" i="60"/>
  <c r="J261" i="60"/>
  <c r="G261" i="60"/>
  <c r="J260" i="60"/>
  <c r="G260" i="60"/>
  <c r="J259" i="60"/>
  <c r="G259" i="60"/>
  <c r="H258" i="60"/>
  <c r="E258" i="60"/>
  <c r="G258" i="60" s="1"/>
  <c r="J256" i="60"/>
  <c r="G256" i="60"/>
  <c r="J255" i="60"/>
  <c r="G255" i="60"/>
  <c r="I254" i="60"/>
  <c r="J254" i="60" s="1"/>
  <c r="F254" i="60"/>
  <c r="J253" i="60"/>
  <c r="G253" i="60"/>
  <c r="J252" i="60"/>
  <c r="G252" i="60"/>
  <c r="H251" i="60"/>
  <c r="H250" i="60" s="1"/>
  <c r="E251" i="60"/>
  <c r="J249" i="60"/>
  <c r="G249" i="60"/>
  <c r="J248" i="60"/>
  <c r="G248" i="60"/>
  <c r="J247" i="60"/>
  <c r="G247" i="60"/>
  <c r="J246" i="60"/>
  <c r="G246" i="60"/>
  <c r="I245" i="60"/>
  <c r="H245" i="60"/>
  <c r="F245" i="60"/>
  <c r="E245" i="60"/>
  <c r="H244" i="60"/>
  <c r="J244" i="60" s="1"/>
  <c r="E244" i="60"/>
  <c r="G244" i="60" s="1"/>
  <c r="J243" i="60"/>
  <c r="G243" i="60"/>
  <c r="J242" i="60"/>
  <c r="G242" i="60"/>
  <c r="J241" i="60"/>
  <c r="G241" i="60"/>
  <c r="J240" i="60"/>
  <c r="G240" i="60"/>
  <c r="J239" i="60"/>
  <c r="G239" i="60"/>
  <c r="J238" i="60"/>
  <c r="G238" i="60"/>
  <c r="J237" i="60"/>
  <c r="G237" i="60"/>
  <c r="J236" i="60"/>
  <c r="G236" i="60"/>
  <c r="J235" i="60"/>
  <c r="G235" i="60"/>
  <c r="J234" i="60"/>
  <c r="G234" i="60"/>
  <c r="J233" i="60"/>
  <c r="G233" i="60"/>
  <c r="J232" i="60"/>
  <c r="G232" i="60"/>
  <c r="J231" i="60"/>
  <c r="G231" i="60"/>
  <c r="H230" i="60"/>
  <c r="J230" i="60" s="1"/>
  <c r="I229" i="60"/>
  <c r="F229" i="60"/>
  <c r="J228" i="60"/>
  <c r="G228" i="60"/>
  <c r="J227" i="60"/>
  <c r="G227" i="60"/>
  <c r="J226" i="60"/>
  <c r="G226" i="60"/>
  <c r="J225" i="60"/>
  <c r="G225" i="60"/>
  <c r="J224" i="60"/>
  <c r="G224" i="60"/>
  <c r="J223" i="60"/>
  <c r="G223" i="60"/>
  <c r="J222" i="60"/>
  <c r="G222" i="60"/>
  <c r="J221" i="60"/>
  <c r="G221" i="60"/>
  <c r="J220" i="60"/>
  <c r="G220" i="60"/>
  <c r="J219" i="60"/>
  <c r="G219" i="60"/>
  <c r="J218" i="60"/>
  <c r="G218" i="60"/>
  <c r="J217" i="60"/>
  <c r="G217" i="60"/>
  <c r="J216" i="60"/>
  <c r="G216" i="60"/>
  <c r="J215" i="60"/>
  <c r="G215" i="60"/>
  <c r="I214" i="60"/>
  <c r="F214" i="60"/>
  <c r="J213" i="60"/>
  <c r="G213" i="60"/>
  <c r="J212" i="60"/>
  <c r="J211" i="60"/>
  <c r="G211" i="60"/>
  <c r="J210" i="60"/>
  <c r="G210" i="60"/>
  <c r="H209" i="60"/>
  <c r="J209" i="60" s="1"/>
  <c r="E209" i="60"/>
  <c r="J207" i="60"/>
  <c r="G207" i="60"/>
  <c r="J206" i="60"/>
  <c r="G206" i="60"/>
  <c r="J205" i="60"/>
  <c r="G205" i="60"/>
  <c r="J204" i="60"/>
  <c r="G204" i="60"/>
  <c r="J203" i="60"/>
  <c r="G203" i="60"/>
  <c r="J202" i="60"/>
  <c r="G202" i="60"/>
  <c r="H201" i="60"/>
  <c r="H303" i="60" s="1"/>
  <c r="F303" i="60"/>
  <c r="J200" i="60"/>
  <c r="A200" i="60"/>
  <c r="J199" i="60"/>
  <c r="G199" i="60"/>
  <c r="A199" i="60"/>
  <c r="J198" i="60"/>
  <c r="G198" i="60"/>
  <c r="I197" i="60"/>
  <c r="J197" i="60" s="1"/>
  <c r="F197" i="60"/>
  <c r="F196" i="60" s="1"/>
  <c r="E196" i="60"/>
  <c r="J195" i="60"/>
  <c r="G195" i="60"/>
  <c r="A195" i="60"/>
  <c r="I194" i="60"/>
  <c r="F194" i="60"/>
  <c r="H193" i="60"/>
  <c r="H300" i="60" s="1"/>
  <c r="J192" i="60"/>
  <c r="G192" i="60"/>
  <c r="J191" i="60"/>
  <c r="G191" i="60"/>
  <c r="J190" i="60"/>
  <c r="G190" i="60"/>
  <c r="J189" i="60"/>
  <c r="G189" i="60"/>
  <c r="J188" i="60"/>
  <c r="G188" i="60"/>
  <c r="J187" i="60"/>
  <c r="G187" i="60"/>
  <c r="J186" i="60"/>
  <c r="G186" i="60"/>
  <c r="J185" i="60"/>
  <c r="G185" i="60"/>
  <c r="J184" i="60"/>
  <c r="G184" i="60"/>
  <c r="J183" i="60"/>
  <c r="G183" i="60"/>
  <c r="J182" i="60"/>
  <c r="G182" i="60"/>
  <c r="G181" i="60"/>
  <c r="I179" i="60"/>
  <c r="J179" i="60" s="1"/>
  <c r="F179" i="60"/>
  <c r="J178" i="60"/>
  <c r="G178" i="60"/>
  <c r="J177" i="60"/>
  <c r="G177" i="60"/>
  <c r="J176" i="60"/>
  <c r="G176" i="60"/>
  <c r="J175" i="60"/>
  <c r="G175" i="60"/>
  <c r="J174" i="60"/>
  <c r="G174" i="60"/>
  <c r="J173" i="60"/>
  <c r="J171" i="60"/>
  <c r="J170" i="60"/>
  <c r="J169" i="60"/>
  <c r="J168" i="60"/>
  <c r="J165" i="60"/>
  <c r="J164" i="60"/>
  <c r="J163" i="60"/>
  <c r="J162" i="60"/>
  <c r="J161" i="60"/>
  <c r="J160" i="60"/>
  <c r="J159" i="60"/>
  <c r="J158" i="60"/>
  <c r="J157" i="60"/>
  <c r="J156" i="60"/>
  <c r="J155" i="60"/>
  <c r="J154" i="60"/>
  <c r="J153" i="60"/>
  <c r="J152" i="60"/>
  <c r="J151" i="60"/>
  <c r="J150" i="60"/>
  <c r="J149" i="60"/>
  <c r="J148" i="60"/>
  <c r="J147" i="60"/>
  <c r="G147" i="60"/>
  <c r="G146" i="60"/>
  <c r="J145" i="60"/>
  <c r="G145" i="60"/>
  <c r="I144" i="60"/>
  <c r="J144" i="60" s="1"/>
  <c r="F144" i="60"/>
  <c r="F143" i="60" s="1"/>
  <c r="H143" i="60"/>
  <c r="E143" i="60"/>
  <c r="J142" i="60"/>
  <c r="G142" i="60"/>
  <c r="J141" i="60"/>
  <c r="G141" i="60"/>
  <c r="J140" i="60"/>
  <c r="G140" i="60"/>
  <c r="J139" i="60"/>
  <c r="G139" i="60"/>
  <c r="J138" i="60"/>
  <c r="G138" i="60"/>
  <c r="J137" i="60"/>
  <c r="G137" i="60"/>
  <c r="J136" i="60"/>
  <c r="G136" i="60"/>
  <c r="H135" i="60"/>
  <c r="J135" i="60" s="1"/>
  <c r="E135" i="60"/>
  <c r="G135" i="60" s="1"/>
  <c r="J134" i="60"/>
  <c r="G134" i="60"/>
  <c r="J133" i="60"/>
  <c r="G133" i="60"/>
  <c r="J132" i="60"/>
  <c r="G132" i="60"/>
  <c r="J131" i="60"/>
  <c r="F131" i="60"/>
  <c r="G131" i="60" s="1"/>
  <c r="J130" i="60"/>
  <c r="G130" i="60"/>
  <c r="J129" i="60"/>
  <c r="G129" i="60"/>
  <c r="J128" i="60"/>
  <c r="G128" i="60"/>
  <c r="J127" i="60"/>
  <c r="G127" i="60"/>
  <c r="J126" i="60"/>
  <c r="G126" i="60"/>
  <c r="J125" i="60"/>
  <c r="G125" i="60"/>
  <c r="J124" i="60"/>
  <c r="F124" i="60"/>
  <c r="G124" i="60" s="1"/>
  <c r="H123" i="60"/>
  <c r="J123" i="60" s="1"/>
  <c r="E123" i="60"/>
  <c r="J121" i="60"/>
  <c r="G121" i="60"/>
  <c r="J120" i="60"/>
  <c r="G120" i="60"/>
  <c r="H119" i="60"/>
  <c r="E119" i="60"/>
  <c r="G119" i="60" s="1"/>
  <c r="I118" i="60"/>
  <c r="I296" i="60" s="1"/>
  <c r="F118" i="60"/>
  <c r="F296" i="60" s="1"/>
  <c r="H117" i="60"/>
  <c r="E117" i="60"/>
  <c r="G117" i="60" s="1"/>
  <c r="J116" i="60"/>
  <c r="G116" i="60"/>
  <c r="F115" i="60"/>
  <c r="J114" i="60"/>
  <c r="G114" i="60"/>
  <c r="J113" i="60"/>
  <c r="G113" i="60"/>
  <c r="J112" i="60"/>
  <c r="G112" i="60"/>
  <c r="J111" i="60"/>
  <c r="G111" i="60"/>
  <c r="J110" i="60"/>
  <c r="G110" i="60"/>
  <c r="J109" i="60"/>
  <c r="F109" i="60"/>
  <c r="F108" i="60" s="1"/>
  <c r="H108" i="60"/>
  <c r="J108" i="60" s="1"/>
  <c r="E108" i="60"/>
  <c r="J107" i="60"/>
  <c r="G107" i="60"/>
  <c r="J106" i="60"/>
  <c r="G106" i="60"/>
  <c r="H105" i="60"/>
  <c r="J105" i="60" s="1"/>
  <c r="F105" i="60"/>
  <c r="E105" i="60"/>
  <c r="I104" i="60"/>
  <c r="I295" i="60" s="1"/>
  <c r="J103" i="60"/>
  <c r="G103" i="60"/>
  <c r="A103" i="60"/>
  <c r="J102" i="60"/>
  <c r="G102" i="60"/>
  <c r="H101" i="60"/>
  <c r="J101" i="60" s="1"/>
  <c r="E101" i="60"/>
  <c r="G101" i="60" s="1"/>
  <c r="J100" i="60"/>
  <c r="G100" i="60"/>
  <c r="J99" i="60"/>
  <c r="E99" i="60"/>
  <c r="I98" i="60"/>
  <c r="I293" i="60" s="1"/>
  <c r="F98" i="60"/>
  <c r="F293" i="60" s="1"/>
  <c r="J97" i="60"/>
  <c r="G97" i="60"/>
  <c r="A97" i="60"/>
  <c r="H96" i="60"/>
  <c r="J96" i="60" s="1"/>
  <c r="G96" i="60"/>
  <c r="J95" i="60"/>
  <c r="F95" i="60"/>
  <c r="G95" i="60" s="1"/>
  <c r="J94" i="60"/>
  <c r="G94" i="60"/>
  <c r="J93" i="60"/>
  <c r="G93" i="60"/>
  <c r="J92" i="60"/>
  <c r="G92" i="60"/>
  <c r="J91" i="60"/>
  <c r="G91" i="60"/>
  <c r="J90" i="60"/>
  <c r="G90" i="60"/>
  <c r="J89" i="60"/>
  <c r="G89" i="60"/>
  <c r="J88" i="60"/>
  <c r="G88" i="60"/>
  <c r="J87" i="60"/>
  <c r="G87" i="60"/>
  <c r="G86" i="60"/>
  <c r="G85" i="60"/>
  <c r="J84" i="60"/>
  <c r="G84" i="60"/>
  <c r="J83" i="60"/>
  <c r="G83" i="60"/>
  <c r="J82" i="60"/>
  <c r="G82" i="60"/>
  <c r="J81" i="60"/>
  <c r="G81" i="60"/>
  <c r="J80" i="60"/>
  <c r="G80" i="60"/>
  <c r="J79" i="60"/>
  <c r="G79" i="60"/>
  <c r="J78" i="60"/>
  <c r="G78" i="60"/>
  <c r="J77" i="60"/>
  <c r="G77" i="60"/>
  <c r="H76" i="60"/>
  <c r="J76" i="60" s="1"/>
  <c r="G76" i="60"/>
  <c r="J75" i="60"/>
  <c r="G75" i="60"/>
  <c r="J74" i="60"/>
  <c r="G74" i="60"/>
  <c r="J73" i="60"/>
  <c r="G73" i="60"/>
  <c r="J72" i="60"/>
  <c r="G72" i="60"/>
  <c r="J71" i="60"/>
  <c r="E71" i="60"/>
  <c r="I70" i="60"/>
  <c r="H70" i="60"/>
  <c r="J69" i="60"/>
  <c r="G69" i="60"/>
  <c r="J68" i="60"/>
  <c r="G68" i="60"/>
  <c r="J67" i="60"/>
  <c r="G67" i="60"/>
  <c r="J66" i="60"/>
  <c r="G66" i="60"/>
  <c r="J65" i="60"/>
  <c r="G65" i="60"/>
  <c r="J64" i="60"/>
  <c r="F64" i="60"/>
  <c r="G64" i="60" s="1"/>
  <c r="J63" i="60"/>
  <c r="G63" i="60"/>
  <c r="J62" i="60"/>
  <c r="G62" i="60"/>
  <c r="H61" i="60"/>
  <c r="J61" i="60" s="1"/>
  <c r="E61" i="60"/>
  <c r="G61" i="60" s="1"/>
  <c r="H60" i="60"/>
  <c r="E60" i="60"/>
  <c r="G60" i="60" s="1"/>
  <c r="H59" i="60"/>
  <c r="J59" i="60" s="1"/>
  <c r="E59" i="60"/>
  <c r="I58" i="60"/>
  <c r="J57" i="60"/>
  <c r="G57" i="60"/>
  <c r="J56" i="60"/>
  <c r="G56" i="60"/>
  <c r="J55" i="60"/>
  <c r="G55" i="60"/>
  <c r="I54" i="60"/>
  <c r="H54" i="60"/>
  <c r="E54" i="60"/>
  <c r="J53" i="60"/>
  <c r="G53" i="60"/>
  <c r="J52" i="60"/>
  <c r="G52" i="60"/>
  <c r="I51" i="60"/>
  <c r="I50" i="60" s="1"/>
  <c r="H51" i="60"/>
  <c r="F51" i="60"/>
  <c r="F50" i="60" s="1"/>
  <c r="E51" i="60"/>
  <c r="J49" i="60"/>
  <c r="G49" i="60"/>
  <c r="I48" i="60"/>
  <c r="J48" i="60" s="1"/>
  <c r="F48" i="60"/>
  <c r="G48" i="60" s="1"/>
  <c r="J47" i="60"/>
  <c r="G47" i="60"/>
  <c r="J46" i="60"/>
  <c r="G46" i="60"/>
  <c r="J45" i="60"/>
  <c r="G45" i="60"/>
  <c r="J44" i="60"/>
  <c r="G44" i="60"/>
  <c r="I43" i="60"/>
  <c r="H43" i="60"/>
  <c r="F43" i="60"/>
  <c r="E43" i="60"/>
  <c r="I42" i="60"/>
  <c r="J42" i="60" s="1"/>
  <c r="G42" i="60"/>
  <c r="J41" i="60"/>
  <c r="G41" i="60"/>
  <c r="J40" i="60"/>
  <c r="G40" i="60"/>
  <c r="J39" i="60"/>
  <c r="G39" i="60"/>
  <c r="J38" i="60"/>
  <c r="G38" i="60"/>
  <c r="H37" i="60"/>
  <c r="H28" i="60" s="1"/>
  <c r="E37" i="60"/>
  <c r="G37" i="60" s="1"/>
  <c r="J36" i="60"/>
  <c r="G36" i="60"/>
  <c r="J35" i="60"/>
  <c r="G35" i="60"/>
  <c r="J34" i="60"/>
  <c r="G34" i="60"/>
  <c r="J33" i="60"/>
  <c r="E33" i="60"/>
  <c r="J32" i="60"/>
  <c r="G32" i="60"/>
  <c r="J31" i="60"/>
  <c r="G31" i="60"/>
  <c r="J30" i="60"/>
  <c r="G30" i="60"/>
  <c r="J29" i="60"/>
  <c r="G29" i="60"/>
  <c r="F28" i="60"/>
  <c r="J27" i="60"/>
  <c r="G27" i="60"/>
  <c r="J26" i="60"/>
  <c r="G26" i="60"/>
  <c r="J25" i="60"/>
  <c r="G25" i="60"/>
  <c r="J24" i="60"/>
  <c r="G24" i="60"/>
  <c r="J23" i="60"/>
  <c r="G23" i="60"/>
  <c r="J22" i="60"/>
  <c r="G22" i="60"/>
  <c r="J21" i="60"/>
  <c r="G21" i="60"/>
  <c r="H20" i="60"/>
  <c r="J20" i="60" s="1"/>
  <c r="E20" i="60"/>
  <c r="G20" i="60" s="1"/>
  <c r="J19" i="60"/>
  <c r="G19" i="60"/>
  <c r="J18" i="60"/>
  <c r="F18" i="60"/>
  <c r="G18" i="60" s="1"/>
  <c r="I17" i="60"/>
  <c r="H17" i="60"/>
  <c r="E17" i="60"/>
  <c r="J16" i="60"/>
  <c r="G16" i="60"/>
  <c r="J15" i="60"/>
  <c r="F15" i="60"/>
  <c r="G15" i="60" s="1"/>
  <c r="I14" i="60"/>
  <c r="H14" i="60"/>
  <c r="E14" i="60"/>
  <c r="F193" i="60" l="1"/>
  <c r="E122" i="60"/>
  <c r="E301" i="60" s="1"/>
  <c r="J194" i="60"/>
  <c r="E193" i="60"/>
  <c r="E300" i="60" s="1"/>
  <c r="I13" i="60"/>
  <c r="E115" i="60"/>
  <c r="G115" i="60" s="1"/>
  <c r="H257" i="60"/>
  <c r="J257" i="60" s="1"/>
  <c r="H98" i="60"/>
  <c r="H293" i="60" s="1"/>
  <c r="E257" i="60"/>
  <c r="G257" i="60" s="1"/>
  <c r="I143" i="60"/>
  <c r="E13" i="60"/>
  <c r="F17" i="60"/>
  <c r="G17" i="60" s="1"/>
  <c r="J54" i="60"/>
  <c r="H229" i="60"/>
  <c r="H208" i="60" s="1"/>
  <c r="E58" i="60"/>
  <c r="G58" i="60" s="1"/>
  <c r="H122" i="60"/>
  <c r="H301" i="60" s="1"/>
  <c r="J267" i="60"/>
  <c r="J306" i="60" s="1"/>
  <c r="G43" i="60"/>
  <c r="G105" i="60"/>
  <c r="J17" i="60"/>
  <c r="I28" i="60"/>
  <c r="I12" i="60" s="1"/>
  <c r="I291" i="60" s="1"/>
  <c r="I292" i="60"/>
  <c r="J251" i="60"/>
  <c r="E306" i="60"/>
  <c r="E118" i="60"/>
  <c r="E296" i="60" s="1"/>
  <c r="G197" i="60"/>
  <c r="I208" i="60"/>
  <c r="I302" i="60" s="1"/>
  <c r="J37" i="60"/>
  <c r="F292" i="60"/>
  <c r="G59" i="60"/>
  <c r="G109" i="60"/>
  <c r="F123" i="60"/>
  <c r="F122" i="60" s="1"/>
  <c r="I196" i="60"/>
  <c r="J196" i="60" s="1"/>
  <c r="J201" i="60"/>
  <c r="J303" i="60" s="1"/>
  <c r="J214" i="60"/>
  <c r="J70" i="60"/>
  <c r="G201" i="60"/>
  <c r="G303" i="60" s="1"/>
  <c r="G245" i="60"/>
  <c r="I250" i="60"/>
  <c r="I305" i="60" s="1"/>
  <c r="J269" i="60"/>
  <c r="J290" i="60" s="1"/>
  <c r="F104" i="60"/>
  <c r="F295" i="60" s="1"/>
  <c r="E28" i="60"/>
  <c r="G28" i="60" s="1"/>
  <c r="G33" i="60"/>
  <c r="G54" i="60"/>
  <c r="J43" i="60"/>
  <c r="H118" i="60"/>
  <c r="J119" i="60"/>
  <c r="G209" i="60"/>
  <c r="F14" i="60"/>
  <c r="J14" i="60"/>
  <c r="H13" i="60"/>
  <c r="H115" i="60"/>
  <c r="J117" i="60"/>
  <c r="J51" i="60"/>
  <c r="H58" i="60"/>
  <c r="H50" i="60" s="1"/>
  <c r="J60" i="60"/>
  <c r="G144" i="60"/>
  <c r="G251" i="60"/>
  <c r="E250" i="60"/>
  <c r="G99" i="60"/>
  <c r="E98" i="60"/>
  <c r="G180" i="60"/>
  <c r="G179" i="60"/>
  <c r="G194" i="60"/>
  <c r="F300" i="60"/>
  <c r="G196" i="60"/>
  <c r="J245" i="60"/>
  <c r="A245" i="60"/>
  <c r="G51" i="60"/>
  <c r="G71" i="60"/>
  <c r="E70" i="60"/>
  <c r="G70" i="60" s="1"/>
  <c r="G108" i="60"/>
  <c r="G143" i="60"/>
  <c r="G214" i="60"/>
  <c r="F208" i="60"/>
  <c r="F302" i="60" s="1"/>
  <c r="I303" i="60"/>
  <c r="H305" i="60"/>
  <c r="F250" i="60"/>
  <c r="F305" i="60" s="1"/>
  <c r="G254" i="60"/>
  <c r="J258" i="60"/>
  <c r="G265" i="60"/>
  <c r="G269" i="60"/>
  <c r="G290" i="60" s="1"/>
  <c r="J250" i="60" l="1"/>
  <c r="E50" i="60"/>
  <c r="E104" i="60"/>
  <c r="G123" i="60"/>
  <c r="F301" i="60"/>
  <c r="I122" i="60"/>
  <c r="J122" i="60" s="1"/>
  <c r="J301" i="60" s="1"/>
  <c r="I193" i="60"/>
  <c r="I300" i="60" s="1"/>
  <c r="J98" i="60"/>
  <c r="J293" i="60" s="1"/>
  <c r="G118" i="60"/>
  <c r="G296" i="60" s="1"/>
  <c r="J143" i="60"/>
  <c r="E303" i="60"/>
  <c r="J28" i="60"/>
  <c r="E12" i="60"/>
  <c r="E291" i="60" s="1"/>
  <c r="E229" i="60"/>
  <c r="E297" i="60"/>
  <c r="G297" i="60"/>
  <c r="A6" i="60"/>
  <c r="E293" i="60"/>
  <c r="G98" i="60"/>
  <c r="G293" i="60" s="1"/>
  <c r="J229" i="60"/>
  <c r="J305" i="60"/>
  <c r="E295" i="60"/>
  <c r="G104" i="60"/>
  <c r="G295" i="60" s="1"/>
  <c r="G193" i="60"/>
  <c r="G300" i="60" s="1"/>
  <c r="J115" i="60"/>
  <c r="H104" i="60"/>
  <c r="G14" i="60"/>
  <c r="F13" i="60"/>
  <c r="H296" i="60"/>
  <c r="J118" i="60"/>
  <c r="H297" i="60"/>
  <c r="J58" i="60"/>
  <c r="J13" i="60"/>
  <c r="H12" i="60"/>
  <c r="J208" i="60"/>
  <c r="H302" i="60"/>
  <c r="G250" i="60"/>
  <c r="G305" i="60" s="1"/>
  <c r="E305" i="60"/>
  <c r="F402" i="8"/>
  <c r="F288" i="8"/>
  <c r="E288" i="8"/>
  <c r="D288" i="8"/>
  <c r="F278" i="8"/>
  <c r="E278" i="8"/>
  <c r="D278" i="8"/>
  <c r="F277" i="8"/>
  <c r="E277" i="8"/>
  <c r="D277" i="8"/>
  <c r="F271" i="8"/>
  <c r="E271" i="8"/>
  <c r="D271" i="8"/>
  <c r="F270" i="8"/>
  <c r="E270" i="8"/>
  <c r="D270" i="8"/>
  <c r="F264" i="8"/>
  <c r="E264" i="8"/>
  <c r="D264" i="8"/>
  <c r="F263" i="8"/>
  <c r="E263" i="8"/>
  <c r="D263" i="8"/>
  <c r="F257" i="8"/>
  <c r="E257" i="8"/>
  <c r="D257" i="8"/>
  <c r="F256" i="8"/>
  <c r="E256" i="8"/>
  <c r="D256" i="8"/>
  <c r="F250" i="8"/>
  <c r="E250" i="8"/>
  <c r="D250" i="8"/>
  <c r="F249" i="8"/>
  <c r="E249" i="8"/>
  <c r="D249" i="8"/>
  <c r="F242" i="8"/>
  <c r="F236" i="8"/>
  <c r="E236" i="8"/>
  <c r="D236" i="8"/>
  <c r="F235" i="8"/>
  <c r="E235" i="8"/>
  <c r="D235" i="8"/>
  <c r="E197" i="8"/>
  <c r="D197" i="8"/>
  <c r="F179" i="8"/>
  <c r="E179" i="8"/>
  <c r="D179" i="8"/>
  <c r="F178" i="8"/>
  <c r="E178" i="8"/>
  <c r="D178" i="8"/>
  <c r="F172" i="8"/>
  <c r="E172" i="8"/>
  <c r="D172" i="8"/>
  <c r="F171" i="8"/>
  <c r="E171" i="8"/>
  <c r="D171" i="8"/>
  <c r="F161" i="8"/>
  <c r="E161" i="8"/>
  <c r="D161" i="8"/>
  <c r="F160" i="8"/>
  <c r="E160" i="8"/>
  <c r="D160" i="8"/>
  <c r="F150" i="8"/>
  <c r="E150" i="8"/>
  <c r="D150" i="8"/>
  <c r="F149" i="8"/>
  <c r="E149" i="8"/>
  <c r="D149" i="8"/>
  <c r="F7" i="8"/>
  <c r="E7" i="8"/>
  <c r="F197" i="8"/>
  <c r="E402" i="8"/>
  <c r="F1902" i="8"/>
  <c r="E1902" i="8"/>
  <c r="D1902" i="8"/>
  <c r="F1901" i="8"/>
  <c r="E1901" i="8"/>
  <c r="F1900" i="8"/>
  <c r="E1900" i="8"/>
  <c r="D1900" i="8"/>
  <c r="F1899" i="8"/>
  <c r="E1899" i="8"/>
  <c r="D1899" i="8"/>
  <c r="F1898" i="8"/>
  <c r="E1898" i="8"/>
  <c r="F1897" i="8"/>
  <c r="E1897" i="8"/>
  <c r="D1897" i="8"/>
  <c r="F1869" i="8"/>
  <c r="E1869" i="8"/>
  <c r="D1869" i="8"/>
  <c r="F1868" i="8"/>
  <c r="E1868" i="8"/>
  <c r="D1868" i="8"/>
  <c r="F1867" i="8"/>
  <c r="E1867" i="8"/>
  <c r="F1866" i="8"/>
  <c r="E1866" i="8"/>
  <c r="D1866" i="8"/>
  <c r="F1865" i="8"/>
  <c r="E1865" i="8"/>
  <c r="D1865" i="8"/>
  <c r="F1864" i="8"/>
  <c r="E1864" i="8"/>
  <c r="F1863" i="8"/>
  <c r="E1863" i="8"/>
  <c r="D1863" i="8"/>
  <c r="F1833" i="8"/>
  <c r="E1833" i="8"/>
  <c r="D1833" i="8"/>
  <c r="F1831" i="8"/>
  <c r="E1831" i="8"/>
  <c r="D1831" i="8"/>
  <c r="F1830" i="8"/>
  <c r="E1830" i="8"/>
  <c r="F1829" i="8"/>
  <c r="E1829" i="8"/>
  <c r="D1829" i="8"/>
  <c r="F1828" i="8"/>
  <c r="E1828" i="8"/>
  <c r="D1828" i="8"/>
  <c r="F1827" i="8"/>
  <c r="E1827" i="8"/>
  <c r="F1826" i="8"/>
  <c r="E1826" i="8"/>
  <c r="D1826" i="8"/>
  <c r="G1789" i="8"/>
  <c r="G1787" i="8"/>
  <c r="G1786" i="8"/>
  <c r="G1785" i="8"/>
  <c r="G1784" i="8"/>
  <c r="D1783" i="8"/>
  <c r="G1782" i="8"/>
  <c r="G1781" i="8"/>
  <c r="F1780" i="8"/>
  <c r="F1778" i="8" s="1"/>
  <c r="D1779" i="8"/>
  <c r="E1778" i="8"/>
  <c r="G1777" i="8"/>
  <c r="G1776" i="8"/>
  <c r="G1775" i="8"/>
  <c r="G1774" i="8"/>
  <c r="G1773" i="8"/>
  <c r="G1772" i="8"/>
  <c r="G1771" i="8"/>
  <c r="G1770" i="8"/>
  <c r="G1769" i="8"/>
  <c r="G1768" i="8"/>
  <c r="G1767" i="8"/>
  <c r="G1766" i="8"/>
  <c r="G1765" i="8"/>
  <c r="G1764" i="8"/>
  <c r="G1763" i="8"/>
  <c r="G1762" i="8"/>
  <c r="G1761" i="8"/>
  <c r="G1760" i="8"/>
  <c r="G1759" i="8"/>
  <c r="G1758" i="8"/>
  <c r="F1757" i="8"/>
  <c r="F1723" i="8" s="1"/>
  <c r="F1929" i="8" s="1"/>
  <c r="D1757" i="8"/>
  <c r="F1756" i="8"/>
  <c r="F1754" i="8" s="1"/>
  <c r="D1756" i="8"/>
  <c r="G1755" i="8"/>
  <c r="E1754" i="8"/>
  <c r="E1718" i="8" s="1"/>
  <c r="E1722" i="8" s="1"/>
  <c r="G1753" i="8"/>
  <c r="G1752" i="8"/>
  <c r="G1751" i="8"/>
  <c r="D1750" i="8"/>
  <c r="G1750" i="8" s="1"/>
  <c r="G1748" i="8"/>
  <c r="G1747" i="8"/>
  <c r="G1746" i="8"/>
  <c r="G1745" i="8"/>
  <c r="G1744" i="8"/>
  <c r="G1743" i="8"/>
  <c r="G1742" i="8"/>
  <c r="G1741" i="8"/>
  <c r="G1740" i="8"/>
  <c r="G1739" i="8"/>
  <c r="F1738" i="8"/>
  <c r="F1737" i="8" s="1"/>
  <c r="D1738" i="8"/>
  <c r="G1736" i="8"/>
  <c r="G1735" i="8"/>
  <c r="G1734" i="8"/>
  <c r="G1733" i="8"/>
  <c r="G1732" i="8"/>
  <c r="F1731" i="8"/>
  <c r="F1730" i="8" s="1"/>
  <c r="D1731" i="8"/>
  <c r="D1730" i="8" s="1"/>
  <c r="G1729" i="8"/>
  <c r="G1728" i="8"/>
  <c r="G1727" i="8"/>
  <c r="G1726" i="8"/>
  <c r="D1725" i="8"/>
  <c r="G1725" i="8" s="1"/>
  <c r="G1724" i="8"/>
  <c r="E1723" i="8"/>
  <c r="E1929" i="8" s="1"/>
  <c r="D1721" i="8"/>
  <c r="G1721" i="8" s="1"/>
  <c r="G1719" i="8"/>
  <c r="G1717" i="8"/>
  <c r="G1716" i="8"/>
  <c r="G1715" i="8"/>
  <c r="G1714" i="8"/>
  <c r="G1713" i="8"/>
  <c r="G1712" i="8"/>
  <c r="G1711" i="8"/>
  <c r="G1710" i="8"/>
  <c r="G1709" i="8"/>
  <c r="G1708" i="8"/>
  <c r="G1707" i="8"/>
  <c r="G1706" i="8"/>
  <c r="G1705" i="8"/>
  <c r="G1704" i="8"/>
  <c r="G1703" i="8"/>
  <c r="G1702" i="8"/>
  <c r="D1701" i="8"/>
  <c r="D1700" i="8"/>
  <c r="G1700" i="8" s="1"/>
  <c r="G1699" i="8"/>
  <c r="F1698" i="8"/>
  <c r="E1698" i="8"/>
  <c r="E1663" i="8" s="1"/>
  <c r="E1667" i="8" s="1"/>
  <c r="G1697" i="8"/>
  <c r="G1696" i="8"/>
  <c r="G1695" i="8"/>
  <c r="D1694" i="8"/>
  <c r="G1694" i="8" s="1"/>
  <c r="G1693" i="8"/>
  <c r="G1692" i="8"/>
  <c r="G1691" i="8"/>
  <c r="G1690" i="8"/>
  <c r="G1689" i="8"/>
  <c r="G1688" i="8"/>
  <c r="G1687" i="8"/>
  <c r="G1686" i="8"/>
  <c r="G1685" i="8"/>
  <c r="G1684" i="8"/>
  <c r="F1683" i="8"/>
  <c r="F1682" i="8" s="1"/>
  <c r="D1683" i="8"/>
  <c r="D1682" i="8" s="1"/>
  <c r="G1681" i="8"/>
  <c r="G1680" i="8"/>
  <c r="G1679" i="8"/>
  <c r="G1678" i="8"/>
  <c r="G1677" i="8"/>
  <c r="F1676" i="8"/>
  <c r="F1675" i="8" s="1"/>
  <c r="D1675" i="8"/>
  <c r="G1674" i="8"/>
  <c r="G1673" i="8"/>
  <c r="G1672" i="8"/>
  <c r="G1671" i="8"/>
  <c r="F1670" i="8"/>
  <c r="D1670" i="8"/>
  <c r="G1669" i="8"/>
  <c r="F1668" i="8"/>
  <c r="F1928" i="8" s="1"/>
  <c r="E1668" i="8"/>
  <c r="E1928" i="8" s="1"/>
  <c r="D1666" i="8"/>
  <c r="G1666" i="8" s="1"/>
  <c r="G1664" i="8"/>
  <c r="G1662" i="8"/>
  <c r="G1661" i="8"/>
  <c r="G1660" i="8"/>
  <c r="G1659" i="8"/>
  <c r="G1658" i="8"/>
  <c r="G1657" i="8"/>
  <c r="G1656" i="8"/>
  <c r="G1655" i="8"/>
  <c r="G1654" i="8"/>
  <c r="G1653" i="8"/>
  <c r="G1652" i="8"/>
  <c r="G1651" i="8"/>
  <c r="G1650" i="8"/>
  <c r="G1649" i="8"/>
  <c r="G1648" i="8"/>
  <c r="G1647" i="8"/>
  <c r="D1646" i="8"/>
  <c r="G1646" i="8" s="1"/>
  <c r="G1645" i="8"/>
  <c r="G1644" i="8"/>
  <c r="G1643" i="8"/>
  <c r="G1642" i="8"/>
  <c r="G1641" i="8"/>
  <c r="F1640" i="8"/>
  <c r="F1639" i="8"/>
  <c r="F1637" i="8" s="1"/>
  <c r="D1639" i="8"/>
  <c r="G1638" i="8"/>
  <c r="E1637" i="8"/>
  <c r="E1584" i="8" s="1"/>
  <c r="E1588" i="8" s="1"/>
  <c r="G1636" i="8"/>
  <c r="G1635" i="8"/>
  <c r="G1634" i="8"/>
  <c r="D1633" i="8"/>
  <c r="G1633" i="8" s="1"/>
  <c r="G1632" i="8"/>
  <c r="G1631" i="8"/>
  <c r="G1630" i="8"/>
  <c r="G1629" i="8"/>
  <c r="G1628" i="8"/>
  <c r="G1627" i="8"/>
  <c r="G1626" i="8"/>
  <c r="G1625" i="8"/>
  <c r="G1624" i="8"/>
  <c r="G1623" i="8"/>
  <c r="G1622" i="8"/>
  <c r="G1621" i="8"/>
  <c r="G1620" i="8"/>
  <c r="G1619" i="8"/>
  <c r="G1618" i="8"/>
  <c r="F1617" i="8"/>
  <c r="D1617" i="8"/>
  <c r="G1616" i="8"/>
  <c r="G1615" i="8"/>
  <c r="G1614" i="8"/>
  <c r="G1613" i="8"/>
  <c r="G1612" i="8"/>
  <c r="F1611" i="8"/>
  <c r="D1611" i="8"/>
  <c r="G1610" i="8"/>
  <c r="G1609" i="8"/>
  <c r="G1608" i="8"/>
  <c r="G1607" i="8"/>
  <c r="G1606" i="8"/>
  <c r="D1605" i="8"/>
  <c r="G1604" i="8"/>
  <c r="G1602" i="8"/>
  <c r="G1601" i="8"/>
  <c r="G1600" i="8"/>
  <c r="G1599" i="8"/>
  <c r="G1598" i="8"/>
  <c r="F1597" i="8"/>
  <c r="F1596" i="8" s="1"/>
  <c r="D1597" i="8"/>
  <c r="D1596" i="8" s="1"/>
  <c r="G1595" i="8"/>
  <c r="G1594" i="8"/>
  <c r="G1593" i="8"/>
  <c r="G1592" i="8"/>
  <c r="F1591" i="8"/>
  <c r="D1591" i="8"/>
  <c r="G1590" i="8"/>
  <c r="E1589" i="8"/>
  <c r="E1927" i="8" s="1"/>
  <c r="D1589" i="8"/>
  <c r="D1927" i="8" s="1"/>
  <c r="D1587" i="8"/>
  <c r="G1587" i="8" s="1"/>
  <c r="G1585" i="8"/>
  <c r="G1583" i="8"/>
  <c r="G1582" i="8"/>
  <c r="G1581" i="8"/>
  <c r="G1580" i="8"/>
  <c r="G1579" i="8"/>
  <c r="G1578" i="8"/>
  <c r="G1577" i="8"/>
  <c r="G1576" i="8"/>
  <c r="G1575" i="8"/>
  <c r="G1574" i="8"/>
  <c r="G1573" i="8"/>
  <c r="D1572" i="8"/>
  <c r="G1571" i="8"/>
  <c r="G1570" i="8"/>
  <c r="G1569" i="8"/>
  <c r="G1568" i="8"/>
  <c r="G1567" i="8"/>
  <c r="G1566" i="8"/>
  <c r="G1565" i="8"/>
  <c r="G1564" i="8"/>
  <c r="D1563" i="8"/>
  <c r="D1562" i="8"/>
  <c r="G1562" i="8" s="1"/>
  <c r="G1561" i="8"/>
  <c r="F1560" i="8"/>
  <c r="E1560" i="8"/>
  <c r="E1525" i="8" s="1"/>
  <c r="E1529" i="8" s="1"/>
  <c r="G1559" i="8"/>
  <c r="G1558" i="8"/>
  <c r="G1557" i="8"/>
  <c r="F1556" i="8"/>
  <c r="D1556" i="8"/>
  <c r="G1555" i="8"/>
  <c r="G1554" i="8"/>
  <c r="G1553" i="8"/>
  <c r="G1552" i="8"/>
  <c r="G1551" i="8"/>
  <c r="G1550" i="8"/>
  <c r="G1549" i="8"/>
  <c r="G1548" i="8"/>
  <c r="G1547" i="8"/>
  <c r="G1546" i="8"/>
  <c r="D1545" i="8"/>
  <c r="G1545" i="8" s="1"/>
  <c r="G1544" i="8"/>
  <c r="G1542" i="8"/>
  <c r="G1541" i="8"/>
  <c r="G1540" i="8"/>
  <c r="G1539" i="8"/>
  <c r="F1538" i="8"/>
  <c r="F1537" i="8" s="1"/>
  <c r="D1538" i="8"/>
  <c r="D1537" i="8" s="1"/>
  <c r="G1536" i="8"/>
  <c r="G1535" i="8"/>
  <c r="G1534" i="8"/>
  <c r="G1533" i="8"/>
  <c r="F1532" i="8"/>
  <c r="D1532" i="8"/>
  <c r="G1531" i="8"/>
  <c r="F1530" i="8"/>
  <c r="F1926" i="8" s="1"/>
  <c r="E1530" i="8"/>
  <c r="E1926" i="8" s="1"/>
  <c r="D1528" i="8"/>
  <c r="G1528" i="8" s="1"/>
  <c r="G1526" i="8"/>
  <c r="G1524" i="8"/>
  <c r="G1523" i="8"/>
  <c r="G1522" i="8"/>
  <c r="G1521" i="8"/>
  <c r="G1520" i="8"/>
  <c r="G1519" i="8"/>
  <c r="G1518" i="8"/>
  <c r="G1517" i="8"/>
  <c r="G1516" i="8"/>
  <c r="G1515" i="8"/>
  <c r="G1514" i="8"/>
  <c r="G1513" i="8"/>
  <c r="G1512" i="8"/>
  <c r="G1511" i="8"/>
  <c r="G1510" i="8"/>
  <c r="G1509" i="8"/>
  <c r="G1508" i="8"/>
  <c r="G1507" i="8"/>
  <c r="G1506" i="8"/>
  <c r="G1505" i="8"/>
  <c r="F1504" i="8"/>
  <c r="F1448" i="8" s="1"/>
  <c r="F1925" i="8" s="1"/>
  <c r="D1504" i="8"/>
  <c r="D1448" i="8" s="1"/>
  <c r="D1925" i="8" s="1"/>
  <c r="F1503" i="8"/>
  <c r="F1501" i="8" s="1"/>
  <c r="D1503" i="8"/>
  <c r="D1501" i="8" s="1"/>
  <c r="G1502" i="8"/>
  <c r="E1501" i="8"/>
  <c r="E1443" i="8" s="1"/>
  <c r="E1447" i="8" s="1"/>
  <c r="G1500" i="8"/>
  <c r="G1499" i="8"/>
  <c r="G1498" i="8"/>
  <c r="G1497" i="8"/>
  <c r="G1496" i="8"/>
  <c r="G1495" i="8"/>
  <c r="G1494" i="8"/>
  <c r="D1493" i="8"/>
  <c r="D1492" i="8" s="1"/>
  <c r="G1492" i="8" s="1"/>
  <c r="G1491" i="8"/>
  <c r="G1490" i="8"/>
  <c r="G1489" i="8"/>
  <c r="D1488" i="8"/>
  <c r="G1486" i="8"/>
  <c r="G1485" i="8"/>
  <c r="G1484" i="8"/>
  <c r="G1483" i="8"/>
  <c r="G1482" i="8"/>
  <c r="G1481" i="8"/>
  <c r="G1480" i="8"/>
  <c r="G1479" i="8"/>
  <c r="G1478" i="8"/>
  <c r="G1477" i="8"/>
  <c r="F1476" i="8"/>
  <c r="D1476" i="8"/>
  <c r="G1475" i="8"/>
  <c r="G1474" i="8"/>
  <c r="G1473" i="8"/>
  <c r="G1472" i="8"/>
  <c r="G1471" i="8"/>
  <c r="F1470" i="8"/>
  <c r="D1470" i="8"/>
  <c r="G1469" i="8"/>
  <c r="G1467" i="8"/>
  <c r="G1466" i="8"/>
  <c r="G1465" i="8"/>
  <c r="G1464" i="8"/>
  <c r="G1463" i="8"/>
  <c r="F1462" i="8"/>
  <c r="F1461" i="8" s="1"/>
  <c r="D1462" i="8"/>
  <c r="G1460" i="8"/>
  <c r="G1459" i="8"/>
  <c r="G1458" i="8"/>
  <c r="G1457" i="8"/>
  <c r="F1456" i="8"/>
  <c r="F1455" i="8" s="1"/>
  <c r="D1456" i="8"/>
  <c r="G1454" i="8"/>
  <c r="G1453" i="8"/>
  <c r="G1452" i="8"/>
  <c r="G1451" i="8"/>
  <c r="F1450" i="8"/>
  <c r="D1450" i="8"/>
  <c r="G1449" i="8"/>
  <c r="E1448" i="8"/>
  <c r="E1925" i="8" s="1"/>
  <c r="D1446" i="8"/>
  <c r="G1446" i="8" s="1"/>
  <c r="G1444" i="8"/>
  <c r="G1442" i="8"/>
  <c r="G1441" i="8"/>
  <c r="G1440" i="8"/>
  <c r="G1439" i="8"/>
  <c r="G1438" i="8"/>
  <c r="G1437" i="8"/>
  <c r="G1436" i="8"/>
  <c r="G1435" i="8"/>
  <c r="G1434" i="8"/>
  <c r="G1433" i="8"/>
  <c r="G1432" i="8"/>
  <c r="D1431" i="8"/>
  <c r="G1431" i="8" s="1"/>
  <c r="G1430" i="8"/>
  <c r="G1429" i="8"/>
  <c r="G1428" i="8"/>
  <c r="G1427" i="8"/>
  <c r="G1426" i="8"/>
  <c r="G1425" i="8"/>
  <c r="G1424" i="8"/>
  <c r="F1423" i="8"/>
  <c r="F1396" i="8" s="1"/>
  <c r="F1924" i="8" s="1"/>
  <c r="D1423" i="8"/>
  <c r="F1422" i="8"/>
  <c r="F1420" i="8" s="1"/>
  <c r="D1422" i="8"/>
  <c r="G1421" i="8"/>
  <c r="E1420" i="8"/>
  <c r="E1391" i="8" s="1"/>
  <c r="E1395" i="8" s="1"/>
  <c r="G1419" i="8"/>
  <c r="G1418" i="8"/>
  <c r="G1417" i="8"/>
  <c r="F1416" i="8"/>
  <c r="D1416" i="8"/>
  <c r="G1415" i="8"/>
  <c r="G1414" i="8"/>
  <c r="G1413" i="8"/>
  <c r="G1412" i="8"/>
  <c r="G1411" i="8"/>
  <c r="G1410" i="8"/>
  <c r="G1409" i="8"/>
  <c r="G1408" i="8"/>
  <c r="G1407" i="8"/>
  <c r="G1406" i="8"/>
  <c r="F1405" i="8"/>
  <c r="F1404" i="8" s="1"/>
  <c r="D1405" i="8"/>
  <c r="D1404" i="8" s="1"/>
  <c r="G1403" i="8"/>
  <c r="G1402" i="8"/>
  <c r="G1401" i="8"/>
  <c r="G1400" i="8"/>
  <c r="D1399" i="8"/>
  <c r="D1398" i="8" s="1"/>
  <c r="G1397" i="8"/>
  <c r="E1396" i="8"/>
  <c r="E1924" i="8" s="1"/>
  <c r="D1394" i="8"/>
  <c r="G1394" i="8" s="1"/>
  <c r="G1392" i="8"/>
  <c r="G1390" i="8"/>
  <c r="G1389" i="8"/>
  <c r="G1388" i="8"/>
  <c r="G1387" i="8"/>
  <c r="G1386" i="8"/>
  <c r="G1385" i="8"/>
  <c r="G1384" i="8"/>
  <c r="G1383" i="8"/>
  <c r="G1382" i="8"/>
  <c r="G1381" i="8"/>
  <c r="G1380" i="8"/>
  <c r="G1379" i="8"/>
  <c r="G1378" i="8"/>
  <c r="G1377" i="8"/>
  <c r="G1376" i="8"/>
  <c r="G1375" i="8"/>
  <c r="G1374" i="8"/>
  <c r="G1373" i="8"/>
  <c r="G1372" i="8"/>
  <c r="G1371" i="8"/>
  <c r="G1370" i="8"/>
  <c r="G1369" i="8"/>
  <c r="G1368" i="8"/>
  <c r="G1367" i="8"/>
  <c r="G1366" i="8"/>
  <c r="G1365" i="8"/>
  <c r="G1364" i="8"/>
  <c r="G1363" i="8"/>
  <c r="G1362" i="8"/>
  <c r="G1361" i="8"/>
  <c r="G1360" i="8"/>
  <c r="G1359" i="8"/>
  <c r="G1358" i="8"/>
  <c r="G1357" i="8"/>
  <c r="F1356" i="8"/>
  <c r="E1356" i="8"/>
  <c r="E1321" i="8" s="1"/>
  <c r="E1325" i="8" s="1"/>
  <c r="D1356" i="8"/>
  <c r="G1355" i="8"/>
  <c r="G1354" i="8"/>
  <c r="G1353" i="8"/>
  <c r="G1352" i="8"/>
  <c r="F1351" i="8"/>
  <c r="D1351" i="8"/>
  <c r="G1350" i="8"/>
  <c r="G1349" i="8"/>
  <c r="G1348" i="8"/>
  <c r="G1347" i="8"/>
  <c r="G1346" i="8"/>
  <c r="G1345" i="8"/>
  <c r="G1344" i="8"/>
  <c r="G1343" i="8"/>
  <c r="G1342" i="8"/>
  <c r="G1341" i="8"/>
  <c r="F1340" i="8"/>
  <c r="D1340" i="8"/>
  <c r="D1339" i="8" s="1"/>
  <c r="G1338" i="8"/>
  <c r="G1337" i="8"/>
  <c r="G1336" i="8"/>
  <c r="G1335" i="8"/>
  <c r="F1334" i="8"/>
  <c r="F1333" i="8" s="1"/>
  <c r="D1334" i="8"/>
  <c r="G1332" i="8"/>
  <c r="G1331" i="8"/>
  <c r="G1330" i="8"/>
  <c r="G1329" i="8"/>
  <c r="F1328" i="8"/>
  <c r="D1328" i="8"/>
  <c r="G1327" i="8"/>
  <c r="F1326" i="8"/>
  <c r="F1923" i="8" s="1"/>
  <c r="E1326" i="8"/>
  <c r="E1923" i="8" s="1"/>
  <c r="D1326" i="8"/>
  <c r="D1923" i="8" s="1"/>
  <c r="D1324" i="8"/>
  <c r="G1324" i="8" s="1"/>
  <c r="G1322" i="8"/>
  <c r="G1320" i="8"/>
  <c r="G1319" i="8"/>
  <c r="G1318" i="8"/>
  <c r="G1317" i="8"/>
  <c r="G1316" i="8"/>
  <c r="G1315" i="8"/>
  <c r="G1314" i="8"/>
  <c r="G1313" i="8"/>
  <c r="G1312" i="8"/>
  <c r="G1311" i="8"/>
  <c r="G1310" i="8"/>
  <c r="G1309" i="8"/>
  <c r="G1308" i="8"/>
  <c r="G1307" i="8"/>
  <c r="G1306" i="8"/>
  <c r="G1305" i="8"/>
  <c r="G1304" i="8"/>
  <c r="G1303" i="8"/>
  <c r="F1302" i="8"/>
  <c r="G1302" i="8" s="1"/>
  <c r="F1301" i="8"/>
  <c r="G1300" i="8"/>
  <c r="E1299" i="8"/>
  <c r="E1263" i="8" s="1"/>
  <c r="E1267" i="8" s="1"/>
  <c r="D1299" i="8"/>
  <c r="G1298" i="8"/>
  <c r="G1297" i="8"/>
  <c r="G1296" i="8"/>
  <c r="D1295" i="8"/>
  <c r="G1293" i="8"/>
  <c r="G1292" i="8"/>
  <c r="G1291" i="8"/>
  <c r="G1290" i="8"/>
  <c r="G1289" i="8"/>
  <c r="G1288" i="8"/>
  <c r="G1287" i="8"/>
  <c r="G1286" i="8"/>
  <c r="G1285" i="8"/>
  <c r="G1284" i="8"/>
  <c r="F1283" i="8"/>
  <c r="G1283" i="8" s="1"/>
  <c r="F1282" i="8"/>
  <c r="D1282" i="8"/>
  <c r="G1281" i="8"/>
  <c r="G1280" i="8"/>
  <c r="G1279" i="8"/>
  <c r="G1278" i="8"/>
  <c r="G1277" i="8"/>
  <c r="G1276" i="8"/>
  <c r="D1275" i="8"/>
  <c r="G1275" i="8" s="1"/>
  <c r="G1274" i="8"/>
  <c r="G1273" i="8"/>
  <c r="G1272" i="8"/>
  <c r="G1271" i="8"/>
  <c r="D1270" i="8"/>
  <c r="G1270" i="8" s="1"/>
  <c r="G1269" i="8"/>
  <c r="E1268" i="8"/>
  <c r="E1922" i="8" s="1"/>
  <c r="D1268" i="8"/>
  <c r="D1922" i="8" s="1"/>
  <c r="D1266" i="8"/>
  <c r="G1266" i="8" s="1"/>
  <c r="G1264" i="8"/>
  <c r="G1262" i="8"/>
  <c r="G1261" i="8"/>
  <c r="G1260" i="8"/>
  <c r="G1259" i="8"/>
  <c r="G1258" i="8"/>
  <c r="G1257" i="8"/>
  <c r="G1256" i="8"/>
  <c r="G1255" i="8"/>
  <c r="G1254" i="8"/>
  <c r="G1253" i="8"/>
  <c r="F1252" i="8"/>
  <c r="F1249" i="8" s="1"/>
  <c r="F1921" i="8" s="1"/>
  <c r="D1252" i="8"/>
  <c r="D1249" i="8" s="1"/>
  <c r="D1921" i="8" s="1"/>
  <c r="F1251" i="8"/>
  <c r="F1245" i="8" s="1"/>
  <c r="F1248" i="8" s="1"/>
  <c r="D1251" i="8"/>
  <c r="G1250" i="8"/>
  <c r="E1249" i="8"/>
  <c r="E1921" i="8" s="1"/>
  <c r="G1246" i="8"/>
  <c r="E1245" i="8"/>
  <c r="E1248" i="8" s="1"/>
  <c r="G1244" i="8"/>
  <c r="G1243" i="8"/>
  <c r="G1242" i="8"/>
  <c r="G1241" i="8"/>
  <c r="G1240" i="8"/>
  <c r="G1239" i="8"/>
  <c r="G1238" i="8"/>
  <c r="G1237" i="8"/>
  <c r="G1236" i="8"/>
  <c r="G1235" i="8"/>
  <c r="G1234" i="8"/>
  <c r="G1233" i="8"/>
  <c r="G1232" i="8"/>
  <c r="G1231" i="8"/>
  <c r="G1230" i="8"/>
  <c r="G1229" i="8"/>
  <c r="G1228" i="8"/>
  <c r="G1227" i="8"/>
  <c r="G1226" i="8"/>
  <c r="D1225" i="8"/>
  <c r="G1225" i="8" s="1"/>
  <c r="G1224" i="8"/>
  <c r="G1223" i="8"/>
  <c r="G1222" i="8"/>
  <c r="D1221" i="8"/>
  <c r="G1220" i="8"/>
  <c r="G1219" i="8"/>
  <c r="G1218" i="8"/>
  <c r="F1217" i="8"/>
  <c r="F1216" i="8"/>
  <c r="F1208" i="8" s="1"/>
  <c r="D1216" i="8"/>
  <c r="G1215" i="8"/>
  <c r="E1214" i="8"/>
  <c r="E1920" i="8" s="1"/>
  <c r="D1214" i="8"/>
  <c r="F1212" i="8"/>
  <c r="D1212" i="8"/>
  <c r="D1211" i="8"/>
  <c r="G1209" i="8"/>
  <c r="E1208" i="8"/>
  <c r="E1213" i="8" s="1"/>
  <c r="G1207" i="8"/>
  <c r="G1206" i="8"/>
  <c r="G1205" i="8"/>
  <c r="G1204" i="8"/>
  <c r="G1203" i="8"/>
  <c r="G1202" i="8"/>
  <c r="G1201" i="8"/>
  <c r="G1200" i="8"/>
  <c r="G1199" i="8"/>
  <c r="G1198" i="8"/>
  <c r="F1197" i="8"/>
  <c r="G1197" i="8" s="1"/>
  <c r="G1196" i="8"/>
  <c r="G1195" i="8"/>
  <c r="F1194" i="8"/>
  <c r="G1194" i="8" s="1"/>
  <c r="G1193" i="8"/>
  <c r="G1192" i="8"/>
  <c r="G1191" i="8"/>
  <c r="G1190" i="8"/>
  <c r="G1189" i="8"/>
  <c r="G1188" i="8"/>
  <c r="D1187" i="8"/>
  <c r="G1187" i="8" s="1"/>
  <c r="G1186" i="8"/>
  <c r="G1185" i="8"/>
  <c r="D1184" i="8"/>
  <c r="G1184" i="8" s="1"/>
  <c r="G1183" i="8"/>
  <c r="G1182" i="8"/>
  <c r="G1181" i="8"/>
  <c r="G1180" i="8"/>
  <c r="G1179" i="8"/>
  <c r="G1178" i="8"/>
  <c r="G1177" i="8"/>
  <c r="G1176" i="8"/>
  <c r="G1175" i="8"/>
  <c r="G1174" i="8"/>
  <c r="G1173" i="8"/>
  <c r="G1172" i="8"/>
  <c r="G1171" i="8"/>
  <c r="G1170" i="8"/>
  <c r="G1169" i="8"/>
  <c r="G1168" i="8"/>
  <c r="G1167" i="8"/>
  <c r="G1166" i="8"/>
  <c r="G1165" i="8"/>
  <c r="G1164" i="8"/>
  <c r="G1163" i="8"/>
  <c r="G1162" i="8"/>
  <c r="G1161" i="8"/>
  <c r="G1160" i="8"/>
  <c r="G1159" i="8"/>
  <c r="G1158" i="8"/>
  <c r="G1157" i="8"/>
  <c r="G1156" i="8"/>
  <c r="G1155" i="8"/>
  <c r="G1154" i="8"/>
  <c r="G1153" i="8"/>
  <c r="G1152" i="8"/>
  <c r="G1151" i="8"/>
  <c r="F1150" i="8"/>
  <c r="D1150" i="8"/>
  <c r="F1149" i="8"/>
  <c r="D1149" i="8"/>
  <c r="G1148" i="8"/>
  <c r="E1147" i="8"/>
  <c r="E1093" i="8" s="1"/>
  <c r="E1098" i="8" s="1"/>
  <c r="G1146" i="8"/>
  <c r="G1145" i="8"/>
  <c r="D1144" i="8"/>
  <c r="G1144" i="8" s="1"/>
  <c r="D1143" i="8"/>
  <c r="D1142" i="8" s="1"/>
  <c r="G1142" i="8" s="1"/>
  <c r="G1141" i="8"/>
  <c r="G1140" i="8"/>
  <c r="G1139" i="8"/>
  <c r="D1138" i="8"/>
  <c r="G1138" i="8" s="1"/>
  <c r="G1137" i="8"/>
  <c r="G1136" i="8"/>
  <c r="G1135" i="8"/>
  <c r="G1134" i="8"/>
  <c r="G1133" i="8"/>
  <c r="G1132" i="8"/>
  <c r="G1131" i="8"/>
  <c r="G1130" i="8"/>
  <c r="G1129" i="8"/>
  <c r="F1128" i="8"/>
  <c r="D1128" i="8"/>
  <c r="F1127" i="8"/>
  <c r="D1127" i="8"/>
  <c r="G1126" i="8"/>
  <c r="G1125" i="8"/>
  <c r="G1124" i="8"/>
  <c r="G1123" i="8"/>
  <c r="G1122" i="8"/>
  <c r="D1121" i="8"/>
  <c r="G1121" i="8" s="1"/>
  <c r="D1120" i="8"/>
  <c r="G1120" i="8" s="1"/>
  <c r="G1119" i="8"/>
  <c r="F1118" i="8"/>
  <c r="D1118" i="8"/>
  <c r="F1117" i="8"/>
  <c r="F1101" i="8" s="1"/>
  <c r="G1116" i="8"/>
  <c r="D1115" i="8"/>
  <c r="G1115" i="8" s="1"/>
  <c r="G1114" i="8"/>
  <c r="G1113" i="8"/>
  <c r="G1112" i="8"/>
  <c r="G1111" i="8"/>
  <c r="G1110" i="8"/>
  <c r="G1109" i="8"/>
  <c r="G1108" i="8"/>
  <c r="G1107" i="8"/>
  <c r="G1106" i="8"/>
  <c r="G1105" i="8"/>
  <c r="G1104" i="8"/>
  <c r="G1103" i="8"/>
  <c r="G1100" i="8"/>
  <c r="E1099" i="8"/>
  <c r="E1919" i="8" s="1"/>
  <c r="D1096" i="8"/>
  <c r="G1094" i="8"/>
  <c r="G1092" i="8"/>
  <c r="G1091" i="8"/>
  <c r="G1090" i="8"/>
  <c r="G1089" i="8"/>
  <c r="G1088" i="8"/>
  <c r="G1087" i="8"/>
  <c r="G1086" i="8"/>
  <c r="G1085" i="8"/>
  <c r="G1084" i="8"/>
  <c r="G1083" i="8"/>
  <c r="G1082" i="8"/>
  <c r="G1081" i="8"/>
  <c r="G1080" i="8"/>
  <c r="G1079" i="8"/>
  <c r="G1078" i="8"/>
  <c r="G1077" i="8"/>
  <c r="D1076" i="8"/>
  <c r="G1076" i="8" s="1"/>
  <c r="F1075" i="8"/>
  <c r="F1049" i="8" s="1"/>
  <c r="G1074" i="8"/>
  <c r="G1073" i="8"/>
  <c r="G1072" i="8"/>
  <c r="G1071" i="8"/>
  <c r="G1070" i="8"/>
  <c r="G1069" i="8"/>
  <c r="G1068" i="8"/>
  <c r="G1067" i="8"/>
  <c r="G1066" i="8"/>
  <c r="G1065" i="8"/>
  <c r="G1064" i="8"/>
  <c r="G1063" i="8"/>
  <c r="G1062" i="8"/>
  <c r="G1061" i="8"/>
  <c r="G1060" i="8"/>
  <c r="G1059" i="8"/>
  <c r="D1058" i="8"/>
  <c r="G1058" i="8" s="1"/>
  <c r="G1057" i="8"/>
  <c r="G1056" i="8"/>
  <c r="G1055" i="8"/>
  <c r="D1054" i="8"/>
  <c r="G1053" i="8"/>
  <c r="G1052" i="8"/>
  <c r="D1051" i="8"/>
  <c r="G1051" i="8" s="1"/>
  <c r="G1050" i="8"/>
  <c r="E1049" i="8"/>
  <c r="E1011" i="8" s="1"/>
  <c r="E1018" i="8" s="1"/>
  <c r="E1884" i="8" s="1"/>
  <c r="G1048" i="8"/>
  <c r="G1047" i="8"/>
  <c r="D1046" i="8"/>
  <c r="D1045" i="8"/>
  <c r="G1045" i="8" s="1"/>
  <c r="G1044" i="8"/>
  <c r="F1043" i="8"/>
  <c r="F1042" i="8"/>
  <c r="F1041" i="8" s="1"/>
  <c r="G1040" i="8"/>
  <c r="G1039" i="8"/>
  <c r="G1038" i="8"/>
  <c r="G1037" i="8"/>
  <c r="D1036" i="8"/>
  <c r="G1036" i="8" s="1"/>
  <c r="G1035" i="8"/>
  <c r="G1034" i="8"/>
  <c r="G1033" i="8"/>
  <c r="G1032" i="8"/>
  <c r="G1031" i="8"/>
  <c r="G1030" i="8"/>
  <c r="G1029" i="8"/>
  <c r="G1028" i="8"/>
  <c r="G1027" i="8"/>
  <c r="G1026" i="8"/>
  <c r="G1025" i="8"/>
  <c r="G1024" i="8"/>
  <c r="F1023" i="8"/>
  <c r="D1023" i="8"/>
  <c r="F1022" i="8"/>
  <c r="F1021" i="8" s="1"/>
  <c r="D1022" i="8"/>
  <c r="D1021" i="8" s="1"/>
  <c r="G1020" i="8"/>
  <c r="E1019" i="8"/>
  <c r="E1918" i="8" s="1"/>
  <c r="F1016" i="8"/>
  <c r="G1016" i="8" s="1"/>
  <c r="F1015" i="8"/>
  <c r="G1015" i="8" s="1"/>
  <c r="D1014" i="8"/>
  <c r="G1014" i="8" s="1"/>
  <c r="G1012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D942" i="8"/>
  <c r="G942" i="8" s="1"/>
  <c r="G941" i="8"/>
  <c r="G940" i="8"/>
  <c r="G939" i="8"/>
  <c r="D938" i="8"/>
  <c r="D937" i="8" s="1"/>
  <c r="G936" i="8"/>
  <c r="F935" i="8"/>
  <c r="F909" i="8" s="1"/>
  <c r="F1917" i="8" s="1"/>
  <c r="F934" i="8"/>
  <c r="G933" i="8"/>
  <c r="E932" i="8"/>
  <c r="E903" i="8" s="1"/>
  <c r="E908" i="8" s="1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D914" i="8"/>
  <c r="G914" i="8" s="1"/>
  <c r="G913" i="8"/>
  <c r="F912" i="8"/>
  <c r="F911" i="8" s="1"/>
  <c r="G910" i="8"/>
  <c r="E909" i="8"/>
  <c r="E1917" i="8" s="1"/>
  <c r="D909" i="8"/>
  <c r="D1917" i="8" s="1"/>
  <c r="F907" i="8"/>
  <c r="D907" i="8"/>
  <c r="D906" i="8"/>
  <c r="G906" i="8" s="1"/>
  <c r="G904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D867" i="8"/>
  <c r="G867" i="8" s="1"/>
  <c r="G866" i="8"/>
  <c r="G865" i="8"/>
  <c r="G864" i="8"/>
  <c r="G863" i="8"/>
  <c r="G862" i="8"/>
  <c r="G861" i="8"/>
  <c r="D860" i="8"/>
  <c r="G860" i="8" s="1"/>
  <c r="G859" i="8"/>
  <c r="G858" i="8"/>
  <c r="G857" i="8"/>
  <c r="G856" i="8"/>
  <c r="F855" i="8"/>
  <c r="E855" i="8"/>
  <c r="G854" i="8"/>
  <c r="G853" i="8"/>
  <c r="G852" i="8"/>
  <c r="D851" i="8"/>
  <c r="D850" i="8"/>
  <c r="G849" i="8"/>
  <c r="F847" i="8"/>
  <c r="F846" i="8" s="1"/>
  <c r="E847" i="8"/>
  <c r="E846" i="8" s="1"/>
  <c r="G845" i="8"/>
  <c r="G844" i="8"/>
  <c r="G843" i="8"/>
  <c r="G842" i="8"/>
  <c r="G841" i="8"/>
  <c r="D840" i="8"/>
  <c r="D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D811" i="8"/>
  <c r="F810" i="8"/>
  <c r="E810" i="8"/>
  <c r="D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F790" i="8"/>
  <c r="F786" i="8" s="1"/>
  <c r="F1916" i="8" s="1"/>
  <c r="E790" i="8"/>
  <c r="E786" i="8" s="1"/>
  <c r="E1916" i="8" s="1"/>
  <c r="D790" i="8"/>
  <c r="F789" i="8"/>
  <c r="E789" i="8"/>
  <c r="D789" i="8"/>
  <c r="G787" i="8"/>
  <c r="D784" i="8"/>
  <c r="G784" i="8" s="1"/>
  <c r="F783" i="8"/>
  <c r="D783" i="8"/>
  <c r="G781" i="8"/>
  <c r="G779" i="8"/>
  <c r="G778" i="8"/>
  <c r="G777" i="8"/>
  <c r="G776" i="8"/>
  <c r="D775" i="8"/>
  <c r="G775" i="8" s="1"/>
  <c r="G774" i="8"/>
  <c r="G773" i="8"/>
  <c r="G772" i="8"/>
  <c r="G771" i="8"/>
  <c r="D770" i="8"/>
  <c r="G770" i="8" s="1"/>
  <c r="G769" i="8"/>
  <c r="G768" i="8"/>
  <c r="G767" i="8"/>
  <c r="G766" i="8"/>
  <c r="G765" i="8"/>
  <c r="G764" i="8"/>
  <c r="G763" i="8"/>
  <c r="G762" i="8"/>
  <c r="G761" i="8"/>
  <c r="F760" i="8"/>
  <c r="G759" i="8"/>
  <c r="G758" i="8"/>
  <c r="G757" i="8"/>
  <c r="F756" i="8"/>
  <c r="F755" i="8"/>
  <c r="D755" i="8"/>
  <c r="G754" i="8"/>
  <c r="E753" i="8"/>
  <c r="E734" i="8" s="1"/>
  <c r="E738" i="8" s="1"/>
  <c r="E1881" i="8" s="1"/>
  <c r="G752" i="8"/>
  <c r="G751" i="8"/>
  <c r="G750" i="8"/>
  <c r="G749" i="8"/>
  <c r="D748" i="8"/>
  <c r="G746" i="8"/>
  <c r="G745" i="8"/>
  <c r="G744" i="8"/>
  <c r="G743" i="8"/>
  <c r="F742" i="8"/>
  <c r="F741" i="8" s="1"/>
  <c r="D742" i="8"/>
  <c r="D741" i="8" s="1"/>
  <c r="G740" i="8"/>
  <c r="E739" i="8"/>
  <c r="E1915" i="8" s="1"/>
  <c r="D739" i="8"/>
  <c r="D1915" i="8" s="1"/>
  <c r="D737" i="8"/>
  <c r="G735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D718" i="8"/>
  <c r="G718" i="8" s="1"/>
  <c r="G717" i="8"/>
  <c r="G716" i="8"/>
  <c r="G715" i="8"/>
  <c r="G714" i="8"/>
  <c r="G713" i="8"/>
  <c r="G712" i="8"/>
  <c r="G711" i="8"/>
  <c r="G710" i="8"/>
  <c r="G709" i="8"/>
  <c r="G708" i="8"/>
  <c r="D707" i="8"/>
  <c r="G707" i="8" s="1"/>
  <c r="G706" i="8"/>
  <c r="F705" i="8"/>
  <c r="F700" i="8" s="1"/>
  <c r="E705" i="8"/>
  <c r="E700" i="8" s="1"/>
  <c r="G704" i="8"/>
  <c r="G703" i="8"/>
  <c r="D702" i="8"/>
  <c r="G701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F657" i="8"/>
  <c r="E657" i="8"/>
  <c r="D657" i="8"/>
  <c r="G656" i="8"/>
  <c r="G655" i="8"/>
  <c r="G654" i="8"/>
  <c r="G653" i="8"/>
  <c r="G652" i="8"/>
  <c r="G651" i="8"/>
  <c r="F650" i="8"/>
  <c r="E650" i="8"/>
  <c r="D650" i="8"/>
  <c r="G649" i="8"/>
  <c r="G648" i="8"/>
  <c r="G647" i="8"/>
  <c r="F646" i="8"/>
  <c r="F645" i="8" s="1"/>
  <c r="D646" i="8"/>
  <c r="E645" i="8"/>
  <c r="G644" i="8"/>
  <c r="G643" i="8"/>
  <c r="G642" i="8"/>
  <c r="G641" i="8"/>
  <c r="G640" i="8"/>
  <c r="G639" i="8"/>
  <c r="G638" i="8"/>
  <c r="G637" i="8"/>
  <c r="F636" i="8"/>
  <c r="E636" i="8"/>
  <c r="D636" i="8"/>
  <c r="G635" i="8"/>
  <c r="G633" i="8"/>
  <c r="G632" i="8"/>
  <c r="G631" i="8"/>
  <c r="G630" i="8"/>
  <c r="G629" i="8"/>
  <c r="G628" i="8"/>
  <c r="G627" i="8"/>
  <c r="G626" i="8"/>
  <c r="G625" i="8"/>
  <c r="G623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D606" i="8"/>
  <c r="G606" i="8" s="1"/>
  <c r="G605" i="8"/>
  <c r="D604" i="8"/>
  <c r="D585" i="8" s="1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F586" i="8"/>
  <c r="E586" i="8"/>
  <c r="D586" i="8"/>
  <c r="F585" i="8"/>
  <c r="E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D563" i="8"/>
  <c r="G563" i="8" s="1"/>
  <c r="D562" i="8"/>
  <c r="G562" i="8" s="1"/>
  <c r="G561" i="8"/>
  <c r="G560" i="8"/>
  <c r="G559" i="8"/>
  <c r="G558" i="8"/>
  <c r="G557" i="8"/>
  <c r="G556" i="8"/>
  <c r="G555" i="8"/>
  <c r="G554" i="8"/>
  <c r="G553" i="8"/>
  <c r="D552" i="8"/>
  <c r="G552" i="8" s="1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F537" i="8"/>
  <c r="E537" i="8"/>
  <c r="F536" i="8"/>
  <c r="E536" i="8"/>
  <c r="G535" i="8"/>
  <c r="G534" i="8"/>
  <c r="D533" i="8"/>
  <c r="D513" i="8" s="1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F514" i="8"/>
  <c r="E514" i="8"/>
  <c r="D514" i="8"/>
  <c r="F513" i="8"/>
  <c r="E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D500" i="8"/>
  <c r="G500" i="8" s="1"/>
  <c r="D499" i="8"/>
  <c r="G498" i="8"/>
  <c r="G497" i="8"/>
  <c r="G496" i="8"/>
  <c r="G495" i="8"/>
  <c r="G494" i="8"/>
  <c r="G493" i="8"/>
  <c r="G492" i="8"/>
  <c r="D491" i="8"/>
  <c r="G491" i="8" s="1"/>
  <c r="D490" i="8"/>
  <c r="G490" i="8" s="1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F463" i="8"/>
  <c r="E463" i="8"/>
  <c r="F462" i="8"/>
  <c r="E462" i="8"/>
  <c r="G460" i="8"/>
  <c r="F457" i="8"/>
  <c r="D457" i="8"/>
  <c r="F456" i="8"/>
  <c r="D456" i="8"/>
  <c r="G454" i="8"/>
  <c r="G452" i="8"/>
  <c r="G451" i="8"/>
  <c r="G450" i="8"/>
  <c r="F449" i="8"/>
  <c r="G449" i="8" s="1"/>
  <c r="G448" i="8"/>
  <c r="G447" i="8"/>
  <c r="G446" i="8"/>
  <c r="G445" i="8"/>
  <c r="G444" i="8"/>
  <c r="G443" i="8"/>
  <c r="G442" i="8"/>
  <c r="G441" i="8"/>
  <c r="D440" i="8"/>
  <c r="G440" i="8" s="1"/>
  <c r="G439" i="8"/>
  <c r="G438" i="8"/>
  <c r="F437" i="8"/>
  <c r="F429" i="8" s="1"/>
  <c r="G436" i="8"/>
  <c r="G435" i="8"/>
  <c r="G434" i="8"/>
  <c r="G433" i="8"/>
  <c r="G432" i="8"/>
  <c r="G431" i="8"/>
  <c r="D430" i="8"/>
  <c r="G430" i="8" s="1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F410" i="8"/>
  <c r="D410" i="8"/>
  <c r="G409" i="8"/>
  <c r="G408" i="8"/>
  <c r="D407" i="8"/>
  <c r="G406" i="8"/>
  <c r="G405" i="8"/>
  <c r="F404" i="8"/>
  <c r="G404" i="8" s="1"/>
  <c r="G403" i="8"/>
  <c r="G401" i="8"/>
  <c r="G400" i="8"/>
  <c r="G399" i="8"/>
  <c r="F398" i="8"/>
  <c r="F394" i="8" s="1"/>
  <c r="F393" i="8" s="1"/>
  <c r="G397" i="8"/>
  <c r="G396" i="8"/>
  <c r="F395" i="8"/>
  <c r="E395" i="8"/>
  <c r="E353" i="8" s="1"/>
  <c r="E1913" i="8" s="1"/>
  <c r="D395" i="8"/>
  <c r="E394" i="8"/>
  <c r="E393" i="8" s="1"/>
  <c r="D394" i="8"/>
  <c r="G392" i="8"/>
  <c r="G391" i="8"/>
  <c r="G390" i="8"/>
  <c r="F389" i="8"/>
  <c r="G389" i="8" s="1"/>
  <c r="G388" i="8"/>
  <c r="G387" i="8"/>
  <c r="G386" i="8"/>
  <c r="D385" i="8"/>
  <c r="G384" i="8"/>
  <c r="G383" i="8"/>
  <c r="G382" i="8"/>
  <c r="G381" i="8"/>
  <c r="G380" i="8"/>
  <c r="F379" i="8"/>
  <c r="D379" i="8"/>
  <c r="G378" i="8"/>
  <c r="G377" i="8"/>
  <c r="G376" i="8"/>
  <c r="F375" i="8"/>
  <c r="G375" i="8" s="1"/>
  <c r="G374" i="8"/>
  <c r="G373" i="8"/>
  <c r="G372" i="8"/>
  <c r="D371" i="8"/>
  <c r="G371" i="8" s="1"/>
  <c r="D370" i="8"/>
  <c r="G370" i="8" s="1"/>
  <c r="G369" i="8"/>
  <c r="G368" i="8"/>
  <c r="G367" i="8"/>
  <c r="G366" i="8"/>
  <c r="F365" i="8"/>
  <c r="D365" i="8"/>
  <c r="G364" i="8"/>
  <c r="G363" i="8"/>
  <c r="G362" i="8"/>
  <c r="D361" i="8"/>
  <c r="F360" i="8"/>
  <c r="D360" i="8"/>
  <c r="G359" i="8"/>
  <c r="G358" i="8"/>
  <c r="F357" i="8"/>
  <c r="G354" i="8"/>
  <c r="D351" i="8"/>
  <c r="G351" i="8" s="1"/>
  <c r="G349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D314" i="8"/>
  <c r="G314" i="8" s="1"/>
  <c r="D313" i="8"/>
  <c r="G313" i="8" s="1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D297" i="8"/>
  <c r="G297" i="8" s="1"/>
  <c r="G296" i="8"/>
  <c r="G295" i="8"/>
  <c r="G294" i="8"/>
  <c r="D293" i="8"/>
  <c r="G293" i="8" s="1"/>
  <c r="G292" i="8"/>
  <c r="G291" i="8"/>
  <c r="G290" i="8"/>
  <c r="G289" i="8"/>
  <c r="G287" i="8"/>
  <c r="G286" i="8"/>
  <c r="D285" i="8"/>
  <c r="G285" i="8" s="1"/>
  <c r="D284" i="8"/>
  <c r="G284" i="8" s="1"/>
  <c r="G283" i="8"/>
  <c r="D282" i="8"/>
  <c r="D281" i="8"/>
  <c r="G281" i="8" s="1"/>
  <c r="G280" i="8"/>
  <c r="G279" i="8"/>
  <c r="G276" i="8"/>
  <c r="D275" i="8"/>
  <c r="D274" i="8"/>
  <c r="G274" i="8" s="1"/>
  <c r="G273" i="8"/>
  <c r="G272" i="8"/>
  <c r="G269" i="8"/>
  <c r="D268" i="8"/>
  <c r="F267" i="8"/>
  <c r="D267" i="8"/>
  <c r="G266" i="8"/>
  <c r="G265" i="8"/>
  <c r="G262" i="8"/>
  <c r="D261" i="8"/>
  <c r="D260" i="8"/>
  <c r="G260" i="8" s="1"/>
  <c r="G259" i="8"/>
  <c r="G258" i="8"/>
  <c r="G255" i="8"/>
  <c r="D254" i="8"/>
  <c r="D253" i="8"/>
  <c r="G252" i="8"/>
  <c r="G251" i="8"/>
  <c r="G248" i="8"/>
  <c r="D247" i="8"/>
  <c r="G247" i="8" s="1"/>
  <c r="D246" i="8"/>
  <c r="G246" i="8" s="1"/>
  <c r="G245" i="8"/>
  <c r="G244" i="8"/>
  <c r="D243" i="8"/>
  <c r="D242" i="8"/>
  <c r="G241" i="8"/>
  <c r="D240" i="8"/>
  <c r="D239" i="8"/>
  <c r="G239" i="8" s="1"/>
  <c r="G238" i="8"/>
  <c r="G237" i="8"/>
  <c r="G233" i="8"/>
  <c r="F230" i="8"/>
  <c r="D230" i="8"/>
  <c r="F229" i="8"/>
  <c r="D229" i="8"/>
  <c r="G227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F202" i="8"/>
  <c r="G201" i="8"/>
  <c r="F200" i="8"/>
  <c r="G200" i="8" s="1"/>
  <c r="F199" i="8"/>
  <c r="G199" i="8" s="1"/>
  <c r="G198" i="8"/>
  <c r="G196" i="8"/>
  <c r="G195" i="8"/>
  <c r="G194" i="8"/>
  <c r="G193" i="8"/>
  <c r="G192" i="8"/>
  <c r="G191" i="8"/>
  <c r="F190" i="8"/>
  <c r="F186" i="8" s="1"/>
  <c r="G189" i="8"/>
  <c r="G188" i="8"/>
  <c r="G187" i="8"/>
  <c r="E186" i="8"/>
  <c r="D186" i="8"/>
  <c r="F185" i="8"/>
  <c r="E185" i="8"/>
  <c r="D185" i="8"/>
  <c r="G184" i="8"/>
  <c r="F183" i="8"/>
  <c r="F182" i="8"/>
  <c r="G182" i="8" s="1"/>
  <c r="G181" i="8"/>
  <c r="G180" i="8"/>
  <c r="G177" i="8"/>
  <c r="G176" i="8"/>
  <c r="F175" i="8"/>
  <c r="G175" i="8" s="1"/>
  <c r="G174" i="8"/>
  <c r="G173" i="8"/>
  <c r="G170" i="8"/>
  <c r="G169" i="8"/>
  <c r="G168" i="8"/>
  <c r="D167" i="8"/>
  <c r="G167" i="8" s="1"/>
  <c r="F166" i="8"/>
  <c r="D166" i="8"/>
  <c r="F165" i="8"/>
  <c r="D165" i="8"/>
  <c r="G164" i="8"/>
  <c r="G163" i="8"/>
  <c r="F162" i="8"/>
  <c r="E162" i="8"/>
  <c r="G159" i="8"/>
  <c r="G158" i="8"/>
  <c r="G157" i="8"/>
  <c r="G156" i="8"/>
  <c r="F155" i="8"/>
  <c r="G155" i="8" s="1"/>
  <c r="G154" i="8"/>
  <c r="G153" i="8"/>
  <c r="D152" i="8"/>
  <c r="G152" i="8" s="1"/>
  <c r="D151" i="8"/>
  <c r="G151" i="8" s="1"/>
  <c r="G147" i="8"/>
  <c r="F144" i="8"/>
  <c r="E144" i="8"/>
  <c r="D144" i="8"/>
  <c r="F142" i="8"/>
  <c r="E142" i="8"/>
  <c r="D142" i="8"/>
  <c r="G140" i="8"/>
  <c r="G138" i="8"/>
  <c r="G137" i="8"/>
  <c r="G136" i="8"/>
  <c r="G135" i="8"/>
  <c r="F134" i="8"/>
  <c r="F131" i="8" s="1"/>
  <c r="F1910" i="8" s="1"/>
  <c r="F133" i="8"/>
  <c r="F125" i="8" s="1"/>
  <c r="F130" i="8" s="1"/>
  <c r="G132" i="8"/>
  <c r="E131" i="8"/>
  <c r="E1910" i="8" s="1"/>
  <c r="D131" i="8"/>
  <c r="D1910" i="8" s="1"/>
  <c r="G129" i="8"/>
  <c r="D128" i="8"/>
  <c r="G126" i="8"/>
  <c r="E125" i="8"/>
  <c r="E130" i="8" s="1"/>
  <c r="D125" i="8"/>
  <c r="G124" i="8"/>
  <c r="G123" i="8"/>
  <c r="G122" i="8"/>
  <c r="G121" i="8"/>
  <c r="G120" i="8"/>
  <c r="G119" i="8"/>
  <c r="G118" i="8"/>
  <c r="F117" i="8"/>
  <c r="F114" i="8" s="1"/>
  <c r="F1909" i="8" s="1"/>
  <c r="D117" i="8"/>
  <c r="D114" i="8" s="1"/>
  <c r="D1909" i="8" s="1"/>
  <c r="D116" i="8"/>
  <c r="D109" i="8" s="1"/>
  <c r="G115" i="8"/>
  <c r="E114" i="8"/>
  <c r="E1909" i="8" s="1"/>
  <c r="D112" i="8"/>
  <c r="G112" i="8" s="1"/>
  <c r="G110" i="8"/>
  <c r="F109" i="8"/>
  <c r="F113" i="8" s="1"/>
  <c r="F1875" i="8" s="1"/>
  <c r="E109" i="8"/>
  <c r="E113" i="8" s="1"/>
  <c r="E1875" i="8" s="1"/>
  <c r="G108" i="8"/>
  <c r="G107" i="8"/>
  <c r="G106" i="8"/>
  <c r="G105" i="8"/>
  <c r="G104" i="8"/>
  <c r="G103" i="8"/>
  <c r="G102" i="8"/>
  <c r="D101" i="8"/>
  <c r="G101" i="8" s="1"/>
  <c r="G100" i="8"/>
  <c r="G99" i="8"/>
  <c r="G98" i="8"/>
  <c r="G97" i="8"/>
  <c r="G96" i="8"/>
  <c r="G95" i="8"/>
  <c r="G94" i="8"/>
  <c r="G93" i="8"/>
  <c r="G92" i="8"/>
  <c r="D91" i="8"/>
  <c r="G91" i="8" s="1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D57" i="8"/>
  <c r="G57" i="8" s="1"/>
  <c r="G56" i="8"/>
  <c r="F55" i="8"/>
  <c r="F34" i="8" s="1"/>
  <c r="F1908" i="8" s="1"/>
  <c r="D55" i="8"/>
  <c r="F54" i="8"/>
  <c r="D54" i="8"/>
  <c r="G53" i="8"/>
  <c r="D52" i="8"/>
  <c r="G52" i="8" s="1"/>
  <c r="D51" i="8"/>
  <c r="G50" i="8"/>
  <c r="G49" i="8"/>
  <c r="G48" i="8"/>
  <c r="D47" i="8"/>
  <c r="G47" i="8" s="1"/>
  <c r="G46" i="8"/>
  <c r="F45" i="8"/>
  <c r="D45" i="8"/>
  <c r="G44" i="8"/>
  <c r="G43" i="8"/>
  <c r="G42" i="8"/>
  <c r="G41" i="8"/>
  <c r="G40" i="8"/>
  <c r="G39" i="8"/>
  <c r="G38" i="8"/>
  <c r="G37" i="8"/>
  <c r="F36" i="8"/>
  <c r="G36" i="8" s="1"/>
  <c r="G35" i="8"/>
  <c r="E34" i="8"/>
  <c r="E1908" i="8" s="1"/>
  <c r="D32" i="8"/>
  <c r="G32" i="8" s="1"/>
  <c r="G30" i="8"/>
  <c r="E29" i="8"/>
  <c r="E33" i="8" s="1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F14" i="8"/>
  <c r="F11" i="8" s="1"/>
  <c r="G13" i="8"/>
  <c r="F12" i="8"/>
  <c r="F1907" i="8" s="1"/>
  <c r="E12" i="8"/>
  <c r="E1907" i="8" s="1"/>
  <c r="D12" i="8"/>
  <c r="D1907" i="8" s="1"/>
  <c r="D10" i="8"/>
  <c r="G10" i="8" s="1"/>
  <c r="G8" i="8"/>
  <c r="D7" i="8"/>
  <c r="B39" i="12"/>
  <c r="C23" i="12"/>
  <c r="I301" i="60" l="1"/>
  <c r="I309" i="60" s="1"/>
  <c r="G122" i="60"/>
  <c r="G301" i="60" s="1"/>
  <c r="I6" i="60"/>
  <c r="J193" i="60"/>
  <c r="F12" i="60"/>
  <c r="G13" i="60"/>
  <c r="J302" i="60"/>
  <c r="H292" i="60"/>
  <c r="J50" i="60"/>
  <c r="E292" i="60"/>
  <c r="G50" i="60"/>
  <c r="G292" i="60" s="1"/>
  <c r="G229" i="60"/>
  <c r="E208" i="60"/>
  <c r="J296" i="60"/>
  <c r="H295" i="60"/>
  <c r="J104" i="60"/>
  <c r="J297" i="60"/>
  <c r="H291" i="60"/>
  <c r="J12" i="60"/>
  <c r="H6" i="60"/>
  <c r="D146" i="8"/>
  <c r="E146" i="8"/>
  <c r="F146" i="8"/>
  <c r="E11" i="8"/>
  <c r="E1873" i="8" s="1"/>
  <c r="F1099" i="8"/>
  <c r="F1919" i="8" s="1"/>
  <c r="F1019" i="8"/>
  <c r="F1918" i="8" s="1"/>
  <c r="D1042" i="8"/>
  <c r="G1042" i="8" s="1"/>
  <c r="D437" i="8"/>
  <c r="D429" i="8" s="1"/>
  <c r="D402" i="8" s="1"/>
  <c r="D1097" i="8"/>
  <c r="G1097" i="8" s="1"/>
  <c r="G1143" i="8"/>
  <c r="D1420" i="8"/>
  <c r="G1420" i="8" s="1"/>
  <c r="G270" i="8"/>
  <c r="D705" i="8"/>
  <c r="G705" i="8" s="1"/>
  <c r="G277" i="8"/>
  <c r="D912" i="8"/>
  <c r="D911" i="8" s="1"/>
  <c r="G911" i="8" s="1"/>
  <c r="F1147" i="8"/>
  <c r="F1093" i="8" s="1"/>
  <c r="F1098" i="8" s="1"/>
  <c r="F1885" i="8" s="1"/>
  <c r="D1075" i="8"/>
  <c r="G1075" i="8" s="1"/>
  <c r="D1102" i="8"/>
  <c r="G1102" i="8" s="1"/>
  <c r="E788" i="8"/>
  <c r="E780" i="8" s="1"/>
  <c r="E785" i="8" s="1"/>
  <c r="G1416" i="8"/>
  <c r="G1470" i="8"/>
  <c r="E1013" i="8"/>
  <c r="E234" i="8"/>
  <c r="E226" i="8" s="1"/>
  <c r="G1128" i="8"/>
  <c r="G1351" i="8"/>
  <c r="F1603" i="8"/>
  <c r="F1584" i="8" s="1"/>
  <c r="F1588" i="8" s="1"/>
  <c r="F1893" i="8" s="1"/>
  <c r="G109" i="8"/>
  <c r="F1468" i="8"/>
  <c r="F1443" i="8" s="1"/>
  <c r="F1447" i="8" s="1"/>
  <c r="D1911" i="8"/>
  <c r="G235" i="8"/>
  <c r="F232" i="8"/>
  <c r="F1912" i="8" s="1"/>
  <c r="G249" i="8"/>
  <c r="D357" i="8"/>
  <c r="D353" i="8" s="1"/>
  <c r="G456" i="8"/>
  <c r="D462" i="8"/>
  <c r="G462" i="8" s="1"/>
  <c r="D760" i="8"/>
  <c r="D753" i="8" s="1"/>
  <c r="G1127" i="8"/>
  <c r="D34" i="8"/>
  <c r="D1908" i="8" s="1"/>
  <c r="G360" i="8"/>
  <c r="E461" i="8"/>
  <c r="G1611" i="8"/>
  <c r="F29" i="8"/>
  <c r="F33" i="8" s="1"/>
  <c r="G149" i="8"/>
  <c r="G361" i="8"/>
  <c r="G365" i="8"/>
  <c r="D537" i="8"/>
  <c r="G537" i="8" s="1"/>
  <c r="G935" i="8"/>
  <c r="D1117" i="8"/>
  <c r="G1676" i="8"/>
  <c r="F356" i="8"/>
  <c r="G1216" i="8"/>
  <c r="D162" i="8"/>
  <c r="G162" i="8" s="1"/>
  <c r="E348" i="8"/>
  <c r="E352" i="8" s="1"/>
  <c r="E1879" i="8" s="1"/>
  <c r="F634" i="8"/>
  <c r="F624" i="8" s="1"/>
  <c r="F622" i="8" s="1"/>
  <c r="D1543" i="8"/>
  <c r="G1543" i="8" s="1"/>
  <c r="G14" i="8"/>
  <c r="G116" i="8"/>
  <c r="D130" i="8"/>
  <c r="D1876" i="8" s="1"/>
  <c r="E1911" i="8"/>
  <c r="G178" i="8"/>
  <c r="G183" i="8"/>
  <c r="G457" i="8"/>
  <c r="E459" i="8"/>
  <c r="E1914" i="8" s="1"/>
  <c r="D848" i="8"/>
  <c r="G848" i="8" s="1"/>
  <c r="G851" i="8"/>
  <c r="G1563" i="8"/>
  <c r="D1530" i="8"/>
  <c r="D1926" i="8" s="1"/>
  <c r="G161" i="8"/>
  <c r="G54" i="8"/>
  <c r="G230" i="8"/>
  <c r="G254" i="8"/>
  <c r="G288" i="8"/>
  <c r="D536" i="8"/>
  <c r="G536" i="8" s="1"/>
  <c r="G1217" i="8"/>
  <c r="F1214" i="8"/>
  <c r="F1920" i="8" s="1"/>
  <c r="G45" i="8"/>
  <c r="G142" i="8"/>
  <c r="G144" i="8"/>
  <c r="G172" i="8"/>
  <c r="G229" i="8"/>
  <c r="F234" i="8"/>
  <c r="F226" i="8" s="1"/>
  <c r="F231" i="8" s="1"/>
  <c r="E232" i="8"/>
  <c r="E1912" i="8" s="1"/>
  <c r="G1046" i="8"/>
  <c r="D1043" i="8"/>
  <c r="G1043" i="8" s="1"/>
  <c r="G1462" i="8"/>
  <c r="G1730" i="8"/>
  <c r="G1023" i="8"/>
  <c r="F1268" i="8"/>
  <c r="F1922" i="8" s="1"/>
  <c r="D1461" i="8"/>
  <c r="G1461" i="8" s="1"/>
  <c r="G1675" i="8"/>
  <c r="D1749" i="8"/>
  <c r="G1749" i="8" s="1"/>
  <c r="G1493" i="8"/>
  <c r="G742" i="8"/>
  <c r="G1212" i="8"/>
  <c r="G1450" i="8"/>
  <c r="G271" i="8"/>
  <c r="G275" i="8"/>
  <c r="G1221" i="8"/>
  <c r="D1208" i="8"/>
  <c r="D1294" i="8"/>
  <c r="G1294" i="8" s="1"/>
  <c r="G1295" i="8"/>
  <c r="G1756" i="8"/>
  <c r="D1754" i="8"/>
  <c r="G1754" i="8" s="1"/>
  <c r="G810" i="8"/>
  <c r="F1391" i="8"/>
  <c r="F1395" i="8" s="1"/>
  <c r="D393" i="8"/>
  <c r="G393" i="8" s="1"/>
  <c r="G394" i="8"/>
  <c r="G1054" i="8"/>
  <c r="G55" i="8"/>
  <c r="G165" i="8"/>
  <c r="D148" i="8"/>
  <c r="D139" i="8" s="1"/>
  <c r="G236" i="8"/>
  <c r="G240" i="8"/>
  <c r="G264" i="8"/>
  <c r="G268" i="8"/>
  <c r="G51" i="8"/>
  <c r="G117" i="8"/>
  <c r="G257" i="8"/>
  <c r="G261" i="8"/>
  <c r="G514" i="8"/>
  <c r="F459" i="8"/>
  <c r="F1914" i="8" s="1"/>
  <c r="G646" i="8"/>
  <c r="G741" i="8"/>
  <c r="F739" i="8"/>
  <c r="F1915" i="8" s="1"/>
  <c r="G756" i="8"/>
  <c r="G1021" i="8"/>
  <c r="G128" i="8"/>
  <c r="G134" i="8"/>
  <c r="G150" i="8"/>
  <c r="G166" i="8"/>
  <c r="G407" i="8"/>
  <c r="D463" i="8"/>
  <c r="F788" i="8"/>
  <c r="F780" i="8" s="1"/>
  <c r="F785" i="8" s="1"/>
  <c r="G840" i="8"/>
  <c r="G1022" i="8"/>
  <c r="G185" i="8"/>
  <c r="G243" i="8"/>
  <c r="G379" i="8"/>
  <c r="F461" i="8"/>
  <c r="G586" i="8"/>
  <c r="E634" i="8"/>
  <c r="E624" i="8" s="1"/>
  <c r="E622" i="8" s="1"/>
  <c r="D645" i="8"/>
  <c r="D634" i="8" s="1"/>
  <c r="G783" i="8"/>
  <c r="D855" i="8"/>
  <c r="G855" i="8" s="1"/>
  <c r="G1405" i="8"/>
  <c r="D1487" i="8"/>
  <c r="G1487" i="8" s="1"/>
  <c r="G1488" i="8"/>
  <c r="D1668" i="8"/>
  <c r="G1668" i="8" s="1"/>
  <c r="G1701" i="8"/>
  <c r="G1788" i="8"/>
  <c r="G1833" i="8" s="1"/>
  <c r="G197" i="8"/>
  <c r="G263" i="8"/>
  <c r="G267" i="8"/>
  <c r="G513" i="8"/>
  <c r="G657" i="8"/>
  <c r="G755" i="8"/>
  <c r="F1011" i="8"/>
  <c r="F1018" i="8" s="1"/>
  <c r="F1884" i="8" s="1"/>
  <c r="G1596" i="8"/>
  <c r="G242" i="8"/>
  <c r="G398" i="8"/>
  <c r="G604" i="8"/>
  <c r="F753" i="8"/>
  <c r="F734" i="8" s="1"/>
  <c r="F738" i="8" s="1"/>
  <c r="F1881" i="8" s="1"/>
  <c r="G1211" i="8"/>
  <c r="F1887" i="8"/>
  <c r="F1247" i="8"/>
  <c r="G1340" i="8"/>
  <c r="F1339" i="8"/>
  <c r="F1321" i="8" s="1"/>
  <c r="F1325" i="8" s="1"/>
  <c r="G1404" i="8"/>
  <c r="G1831" i="8"/>
  <c r="G1282" i="8"/>
  <c r="G1399" i="8"/>
  <c r="G1423" i="8"/>
  <c r="G1328" i="8"/>
  <c r="G1334" i="8"/>
  <c r="G1501" i="8"/>
  <c r="G1597" i="8"/>
  <c r="G1617" i="8"/>
  <c r="G1149" i="8"/>
  <c r="F1213" i="8"/>
  <c r="F1886" i="8" s="1"/>
  <c r="G1252" i="8"/>
  <c r="G1422" i="8"/>
  <c r="F1718" i="8"/>
  <c r="F1722" i="8" s="1"/>
  <c r="F1895" i="8" s="1"/>
  <c r="F1873" i="8"/>
  <c r="F9" i="8"/>
  <c r="F1876" i="8"/>
  <c r="F127" i="8"/>
  <c r="E1874" i="8"/>
  <c r="E31" i="8"/>
  <c r="G125" i="8"/>
  <c r="F1911" i="8"/>
  <c r="G186" i="8"/>
  <c r="E1885" i="8"/>
  <c r="E1095" i="8"/>
  <c r="E1876" i="8"/>
  <c r="E127" i="8"/>
  <c r="G179" i="8"/>
  <c r="G937" i="8"/>
  <c r="D932" i="8"/>
  <c r="D29" i="8"/>
  <c r="G114" i="8"/>
  <c r="G133" i="8"/>
  <c r="G143" i="8"/>
  <c r="G190" i="8"/>
  <c r="G250" i="8"/>
  <c r="F385" i="8"/>
  <c r="G385" i="8" s="1"/>
  <c r="D1920" i="8"/>
  <c r="E9" i="8"/>
  <c r="D11" i="8"/>
  <c r="G12" i="8"/>
  <c r="E111" i="8"/>
  <c r="D113" i="8"/>
  <c r="E148" i="8"/>
  <c r="G202" i="8"/>
  <c r="G253" i="8"/>
  <c r="D356" i="8"/>
  <c r="G395" i="8"/>
  <c r="G499" i="8"/>
  <c r="G533" i="8"/>
  <c r="G811" i="8"/>
  <c r="D847" i="8"/>
  <c r="G850" i="8"/>
  <c r="E1883" i="8"/>
  <c r="E905" i="8"/>
  <c r="G938" i="8"/>
  <c r="F1589" i="8"/>
  <c r="G1640" i="8"/>
  <c r="G1738" i="8"/>
  <c r="D1737" i="8"/>
  <c r="G1737" i="8" s="1"/>
  <c r="G7" i="8"/>
  <c r="G131" i="8"/>
  <c r="G282" i="8"/>
  <c r="F353" i="8"/>
  <c r="F1913" i="8" s="1"/>
  <c r="E736" i="8"/>
  <c r="G748" i="8"/>
  <c r="D747" i="8"/>
  <c r="G790" i="8"/>
  <c r="G1118" i="8"/>
  <c r="D1099" i="8"/>
  <c r="F111" i="8"/>
  <c r="G636" i="8"/>
  <c r="G650" i="8"/>
  <c r="G702" i="8"/>
  <c r="G737" i="8"/>
  <c r="G789" i="8"/>
  <c r="G907" i="8"/>
  <c r="F932" i="8"/>
  <c r="F903" i="8" s="1"/>
  <c r="F908" i="8" s="1"/>
  <c r="F1883" i="8" s="1"/>
  <c r="G934" i="8"/>
  <c r="G1017" i="8"/>
  <c r="G1096" i="8"/>
  <c r="G1150" i="8"/>
  <c r="D1245" i="8"/>
  <c r="G1251" i="8"/>
  <c r="E1892" i="8"/>
  <c r="E1527" i="8"/>
  <c r="G410" i="8"/>
  <c r="G585" i="8"/>
  <c r="G839" i="8"/>
  <c r="D788" i="8"/>
  <c r="E1886" i="8"/>
  <c r="E1210" i="8"/>
  <c r="E1888" i="8"/>
  <c r="E1265" i="8"/>
  <c r="D1147" i="8"/>
  <c r="E1887" i="8"/>
  <c r="E1247" i="8"/>
  <c r="G1356" i="8"/>
  <c r="D1396" i="8"/>
  <c r="G1476" i="8"/>
  <c r="D1468" i="8"/>
  <c r="E1893" i="8"/>
  <c r="E1586" i="8"/>
  <c r="G909" i="8"/>
  <c r="G1249" i="8"/>
  <c r="F1299" i="8"/>
  <c r="G1299" i="8" s="1"/>
  <c r="G1301" i="8"/>
  <c r="E1891" i="8"/>
  <c r="E1445" i="8"/>
  <c r="F1525" i="8"/>
  <c r="F1529" i="8" s="1"/>
  <c r="G1556" i="8"/>
  <c r="E1889" i="8"/>
  <c r="E1323" i="8"/>
  <c r="E1890" i="8"/>
  <c r="E1393" i="8"/>
  <c r="F1663" i="8"/>
  <c r="F1667" i="8" s="1"/>
  <c r="G1670" i="8"/>
  <c r="G1900" i="8"/>
  <c r="G1866" i="8"/>
  <c r="G1829" i="8"/>
  <c r="G1326" i="8"/>
  <c r="D1333" i="8"/>
  <c r="G1448" i="8"/>
  <c r="G1456" i="8"/>
  <c r="D1455" i="8"/>
  <c r="G1504" i="8"/>
  <c r="D1603" i="8"/>
  <c r="G1605" i="8"/>
  <c r="E1894" i="8"/>
  <c r="E1665" i="8"/>
  <c r="G1682" i="8"/>
  <c r="G1757" i="8"/>
  <c r="D1723" i="8"/>
  <c r="G1398" i="8"/>
  <c r="G1538" i="8"/>
  <c r="G1572" i="8"/>
  <c r="D1560" i="8"/>
  <c r="G1560" i="8" s="1"/>
  <c r="D1637" i="8"/>
  <c r="G1637" i="8" s="1"/>
  <c r="G1639" i="8"/>
  <c r="E1895" i="8"/>
  <c r="E1720" i="8"/>
  <c r="G1731" i="8"/>
  <c r="G1503" i="8"/>
  <c r="G1532" i="8"/>
  <c r="G1537" i="8"/>
  <c r="G1591" i="8"/>
  <c r="G1683" i="8"/>
  <c r="D1698" i="8"/>
  <c r="G1698" i="8" s="1"/>
  <c r="D1898" i="8"/>
  <c r="D1864" i="8"/>
  <c r="D1827" i="8"/>
  <c r="G1779" i="8"/>
  <c r="D1901" i="8"/>
  <c r="D1867" i="8"/>
  <c r="D1830" i="8"/>
  <c r="D1780" i="8"/>
  <c r="G1780" i="8" s="1"/>
  <c r="G1897" i="8"/>
  <c r="G1863" i="8"/>
  <c r="G1826" i="8"/>
  <c r="G1899" i="8"/>
  <c r="G1828" i="8"/>
  <c r="G1865" i="8"/>
  <c r="G1783" i="8"/>
  <c r="G1902" i="8"/>
  <c r="G1868" i="8"/>
  <c r="H309" i="60" l="1"/>
  <c r="J300" i="60"/>
  <c r="J6" i="60"/>
  <c r="E302" i="60"/>
  <c r="E309" i="60" s="1"/>
  <c r="G208" i="60"/>
  <c r="G302" i="60" s="1"/>
  <c r="E6" i="60"/>
  <c r="J291" i="60"/>
  <c r="J295" i="60"/>
  <c r="H310" i="60"/>
  <c r="J292" i="60"/>
  <c r="F291" i="60"/>
  <c r="F309" i="60" s="1"/>
  <c r="F6" i="60"/>
  <c r="K6" i="60" s="1"/>
  <c r="F9" i="60"/>
  <c r="K9" i="60" s="1"/>
  <c r="F7" i="60"/>
  <c r="K7" i="60" s="1"/>
  <c r="G12" i="60"/>
  <c r="G291" i="60" s="1"/>
  <c r="F11" i="60"/>
  <c r="K11" i="60" s="1"/>
  <c r="F8" i="60"/>
  <c r="K8" i="60" s="1"/>
  <c r="F10" i="60"/>
  <c r="K10" i="60" s="1"/>
  <c r="E231" i="8"/>
  <c r="E1878" i="8" s="1"/>
  <c r="F1874" i="8"/>
  <c r="F31" i="8"/>
  <c r="G429" i="8"/>
  <c r="G402" i="8" s="1"/>
  <c r="D1041" i="8"/>
  <c r="G1041" i="8" s="1"/>
  <c r="G437" i="8"/>
  <c r="D1391" i="8"/>
  <c r="D1395" i="8" s="1"/>
  <c r="D903" i="8"/>
  <c r="G903" i="8" s="1"/>
  <c r="D1019" i="8"/>
  <c r="G1019" i="8" s="1"/>
  <c r="G1918" i="8" s="1"/>
  <c r="D1928" i="8"/>
  <c r="G1147" i="8"/>
  <c r="D700" i="8"/>
  <c r="G700" i="8" s="1"/>
  <c r="F736" i="8"/>
  <c r="D1101" i="8"/>
  <c r="G1101" i="8" s="1"/>
  <c r="G1468" i="8"/>
  <c r="D1049" i="8"/>
  <c r="G1049" i="8" s="1"/>
  <c r="G912" i="8"/>
  <c r="G357" i="8"/>
  <c r="E350" i="8"/>
  <c r="G160" i="8"/>
  <c r="D459" i="8"/>
  <c r="D1914" i="8" s="1"/>
  <c r="D234" i="8"/>
  <c r="D226" i="8" s="1"/>
  <c r="D231" i="8" s="1"/>
  <c r="G256" i="8"/>
  <c r="G1117" i="8"/>
  <c r="G1268" i="8"/>
  <c r="G1922" i="8" s="1"/>
  <c r="G739" i="8"/>
  <c r="G1915" i="8" s="1"/>
  <c r="G1214" i="8"/>
  <c r="G1920" i="8" s="1"/>
  <c r="E453" i="8"/>
  <c r="E458" i="8" s="1"/>
  <c r="G130" i="8"/>
  <c r="G1876" i="8" s="1"/>
  <c r="G34" i="8"/>
  <c r="G1908" i="8" s="1"/>
  <c r="G1603" i="8"/>
  <c r="F453" i="8"/>
  <c r="F458" i="8" s="1"/>
  <c r="F1880" i="8" s="1"/>
  <c r="E1930" i="8"/>
  <c r="G1869" i="8"/>
  <c r="F1210" i="8"/>
  <c r="G753" i="8"/>
  <c r="G1530" i="8"/>
  <c r="G1926" i="8" s="1"/>
  <c r="G645" i="8"/>
  <c r="G760" i="8"/>
  <c r="D1263" i="8"/>
  <c r="D1267" i="8" s="1"/>
  <c r="G463" i="8"/>
  <c r="D461" i="8"/>
  <c r="G461" i="8" s="1"/>
  <c r="F1878" i="8"/>
  <c r="F228" i="8"/>
  <c r="F1586" i="8"/>
  <c r="G1339" i="8"/>
  <c r="D786" i="8"/>
  <c r="G786" i="8" s="1"/>
  <c r="D1663" i="8"/>
  <c r="D1667" i="8" s="1"/>
  <c r="F1720" i="8"/>
  <c r="F1095" i="8"/>
  <c r="D1584" i="8"/>
  <c r="G1584" i="8" s="1"/>
  <c r="D127" i="8"/>
  <c r="G127" i="8" s="1"/>
  <c r="D624" i="8"/>
  <c r="G624" i="8" s="1"/>
  <c r="G634" i="8"/>
  <c r="F1013" i="8"/>
  <c r="F355" i="8"/>
  <c r="F348" i="8" s="1"/>
  <c r="F352" i="8" s="1"/>
  <c r="F350" i="8" s="1"/>
  <c r="F1882" i="8"/>
  <c r="F782" i="8"/>
  <c r="F1890" i="8"/>
  <c r="F1393" i="8"/>
  <c r="D1718" i="8"/>
  <c r="G1718" i="8" s="1"/>
  <c r="D1213" i="8"/>
  <c r="G1208" i="8"/>
  <c r="D1321" i="8"/>
  <c r="G1333" i="8"/>
  <c r="F1892" i="8"/>
  <c r="F1527" i="8"/>
  <c r="G1921" i="8"/>
  <c r="G1898" i="8"/>
  <c r="G1864" i="8"/>
  <c r="G1827" i="8"/>
  <c r="D1525" i="8"/>
  <c r="F1927" i="8"/>
  <c r="F1930" i="8" s="1"/>
  <c r="G1589" i="8"/>
  <c r="G1907" i="8"/>
  <c r="D1778" i="8"/>
  <c r="G1928" i="8"/>
  <c r="G1925" i="8"/>
  <c r="F1894" i="8"/>
  <c r="F1665" i="8"/>
  <c r="D1924" i="8"/>
  <c r="G1396" i="8"/>
  <c r="G788" i="8"/>
  <c r="F905" i="8"/>
  <c r="D355" i="8"/>
  <c r="G356" i="8"/>
  <c r="G146" i="8"/>
  <c r="D1875" i="8"/>
  <c r="G113" i="8"/>
  <c r="D111" i="8"/>
  <c r="G111" i="8" s="1"/>
  <c r="G1909" i="8"/>
  <c r="G1917" i="8"/>
  <c r="G1910" i="8"/>
  <c r="D846" i="8"/>
  <c r="G846" i="8" s="1"/>
  <c r="G847" i="8"/>
  <c r="D1873" i="8"/>
  <c r="D9" i="8"/>
  <c r="G11" i="8"/>
  <c r="F1891" i="8"/>
  <c r="F1445" i="8"/>
  <c r="D1929" i="8"/>
  <c r="G1723" i="8"/>
  <c r="D1443" i="8"/>
  <c r="G1455" i="8"/>
  <c r="G1923" i="8"/>
  <c r="F1263" i="8"/>
  <c r="F1267" i="8" s="1"/>
  <c r="D908" i="8"/>
  <c r="E1882" i="8"/>
  <c r="E782" i="8"/>
  <c r="G1245" i="8"/>
  <c r="D1248" i="8"/>
  <c r="D1913" i="8"/>
  <c r="G353" i="8"/>
  <c r="D232" i="8"/>
  <c r="G278" i="8"/>
  <c r="F148" i="8"/>
  <c r="F139" i="8" s="1"/>
  <c r="F145" i="8" s="1"/>
  <c r="G171" i="8"/>
  <c r="D33" i="8"/>
  <c r="D31" i="8" s="1"/>
  <c r="G29" i="8"/>
  <c r="G1901" i="8"/>
  <c r="G1830" i="8"/>
  <c r="G1867" i="8"/>
  <c r="D145" i="8"/>
  <c r="F1889" i="8"/>
  <c r="F1323" i="8"/>
  <c r="D1919" i="8"/>
  <c r="G1099" i="8"/>
  <c r="G747" i="8"/>
  <c r="D734" i="8"/>
  <c r="E139" i="8"/>
  <c r="E145" i="8" s="1"/>
  <c r="G932" i="8"/>
  <c r="G309" i="60" l="1"/>
  <c r="I11" i="60"/>
  <c r="I7" i="60"/>
  <c r="H11" i="60"/>
  <c r="H8" i="60"/>
  <c r="I8" i="60"/>
  <c r="H9" i="60"/>
  <c r="H7" i="60"/>
  <c r="E7" i="60"/>
  <c r="G7" i="60" s="1"/>
  <c r="I9" i="60"/>
  <c r="E310" i="60"/>
  <c r="I10" i="60"/>
  <c r="H10" i="60"/>
  <c r="E9" i="60"/>
  <c r="G9" i="60" s="1"/>
  <c r="E8" i="60"/>
  <c r="G8" i="60" s="1"/>
  <c r="J309" i="60"/>
  <c r="E11" i="60"/>
  <c r="G11" i="60" s="1"/>
  <c r="E10" i="60"/>
  <c r="G10" i="60" s="1"/>
  <c r="G6" i="60"/>
  <c r="E228" i="8"/>
  <c r="D1918" i="8"/>
  <c r="G1391" i="8"/>
  <c r="D1011" i="8"/>
  <c r="G1011" i="8" s="1"/>
  <c r="G234" i="8"/>
  <c r="D1093" i="8"/>
  <c r="D1098" i="8" s="1"/>
  <c r="G459" i="8"/>
  <c r="G1914" i="8" s="1"/>
  <c r="G148" i="8"/>
  <c r="E455" i="8"/>
  <c r="E1880" i="8"/>
  <c r="F455" i="8"/>
  <c r="D1916" i="8"/>
  <c r="D1588" i="8"/>
  <c r="D1893" i="8" s="1"/>
  <c r="G1663" i="8"/>
  <c r="F1879" i="8"/>
  <c r="D622" i="8"/>
  <c r="G1213" i="8"/>
  <c r="D1210" i="8"/>
  <c r="G1210" i="8" s="1"/>
  <c r="D1886" i="8"/>
  <c r="D1722" i="8"/>
  <c r="G1722" i="8" s="1"/>
  <c r="D1874" i="8"/>
  <c r="G33" i="8"/>
  <c r="G31" i="8"/>
  <c r="G734" i="8"/>
  <c r="D738" i="8"/>
  <c r="G1913" i="8"/>
  <c r="D1887" i="8"/>
  <c r="D1247" i="8"/>
  <c r="G1247" i="8" s="1"/>
  <c r="G1248" i="8"/>
  <c r="G1873" i="8"/>
  <c r="D780" i="8"/>
  <c r="G1263" i="8"/>
  <c r="D1894" i="8"/>
  <c r="G1667" i="8"/>
  <c r="D1665" i="8"/>
  <c r="G1665" i="8" s="1"/>
  <c r="F1877" i="8"/>
  <c r="F141" i="8"/>
  <c r="D1883" i="8"/>
  <c r="G908" i="8"/>
  <c r="D905" i="8"/>
  <c r="G905" i="8" s="1"/>
  <c r="F1888" i="8"/>
  <c r="F1265" i="8"/>
  <c r="D1447" i="8"/>
  <c r="G1443" i="8"/>
  <c r="G9" i="8"/>
  <c r="G1875" i="8"/>
  <c r="G226" i="8"/>
  <c r="D1888" i="8"/>
  <c r="G1267" i="8"/>
  <c r="D1265" i="8"/>
  <c r="E1877" i="8"/>
  <c r="E141" i="8"/>
  <c r="G1919" i="8"/>
  <c r="G139" i="8"/>
  <c r="G1916" i="8"/>
  <c r="G1929" i="8"/>
  <c r="G1924" i="8"/>
  <c r="D1890" i="8"/>
  <c r="G1395" i="8"/>
  <c r="D1393" i="8"/>
  <c r="G1393" i="8" s="1"/>
  <c r="D1529" i="8"/>
  <c r="G1525" i="8"/>
  <c r="D1877" i="8"/>
  <c r="G145" i="8"/>
  <c r="D141" i="8"/>
  <c r="D1912" i="8"/>
  <c r="G232" i="8"/>
  <c r="G1093" i="8"/>
  <c r="G1911" i="8"/>
  <c r="D348" i="8"/>
  <c r="G355" i="8"/>
  <c r="G1778" i="8"/>
  <c r="G1927" i="8"/>
  <c r="D1325" i="8"/>
  <c r="G1321" i="8"/>
  <c r="J8" i="60" l="1"/>
  <c r="J11" i="60"/>
  <c r="I4" i="60"/>
  <c r="J9" i="60"/>
  <c r="J10" i="60"/>
  <c r="J7" i="60"/>
  <c r="D1018" i="8"/>
  <c r="D1586" i="8"/>
  <c r="G1586" i="8" s="1"/>
  <c r="E1896" i="8"/>
  <c r="E1903" i="8" s="1"/>
  <c r="G1588" i="8"/>
  <c r="G1893" i="8" s="1"/>
  <c r="D1895" i="8"/>
  <c r="D1930" i="8"/>
  <c r="D1720" i="8"/>
  <c r="G1720" i="8" s="1"/>
  <c r="D1884" i="8"/>
  <c r="D1013" i="8"/>
  <c r="G1013" i="8" s="1"/>
  <c r="G1018" i="8"/>
  <c r="G1886" i="8"/>
  <c r="G622" i="8"/>
  <c r="D453" i="8"/>
  <c r="G348" i="8"/>
  <c r="D352" i="8"/>
  <c r="D350" i="8" s="1"/>
  <c r="G1877" i="8"/>
  <c r="G1888" i="8"/>
  <c r="D1878" i="8"/>
  <c r="G231" i="8"/>
  <c r="D228" i="8"/>
  <c r="D1881" i="8"/>
  <c r="G738" i="8"/>
  <c r="D736" i="8"/>
  <c r="G736" i="8" s="1"/>
  <c r="G1874" i="8"/>
  <c r="G1912" i="8"/>
  <c r="G1930" i="8" s="1"/>
  <c r="D1892" i="8"/>
  <c r="D1527" i="8"/>
  <c r="G1527" i="8" s="1"/>
  <c r="G1529" i="8"/>
  <c r="G1890" i="8"/>
  <c r="G780" i="8"/>
  <c r="D785" i="8"/>
  <c r="D1889" i="8"/>
  <c r="G1325" i="8"/>
  <c r="D1323" i="8"/>
  <c r="G1323" i="8" s="1"/>
  <c r="F1896" i="8"/>
  <c r="F1903" i="8" s="1"/>
  <c r="G1895" i="8"/>
  <c r="G1894" i="8"/>
  <c r="D1885" i="8"/>
  <c r="G1098" i="8"/>
  <c r="D1095" i="8"/>
  <c r="G1095" i="8" s="1"/>
  <c r="G141" i="8"/>
  <c r="G1265" i="8"/>
  <c r="D1891" i="8"/>
  <c r="G1447" i="8"/>
  <c r="D1445" i="8"/>
  <c r="G1445" i="8" s="1"/>
  <c r="G1883" i="8"/>
  <c r="G1887" i="8"/>
  <c r="G453" i="8" l="1"/>
  <c r="D458" i="8"/>
  <c r="G1884" i="8"/>
  <c r="G1889" i="8"/>
  <c r="G1892" i="8"/>
  <c r="G1881" i="8"/>
  <c r="D1879" i="8"/>
  <c r="G352" i="8"/>
  <c r="G1891" i="8"/>
  <c r="G228" i="8"/>
  <c r="G1885" i="8"/>
  <c r="D1882" i="8"/>
  <c r="G785" i="8"/>
  <c r="D782" i="8"/>
  <c r="G782" i="8" s="1"/>
  <c r="G1878" i="8"/>
  <c r="G458" i="8" l="1"/>
  <c r="D455" i="8"/>
  <c r="D1880" i="8"/>
  <c r="D1896" i="8" s="1"/>
  <c r="D1903" i="8" s="1"/>
  <c r="E1852" i="8"/>
  <c r="D1845" i="8"/>
  <c r="D1799" i="8"/>
  <c r="F1857" i="8"/>
  <c r="F1792" i="8"/>
  <c r="E1799" i="8"/>
  <c r="E1904" i="8" s="1"/>
  <c r="D1841" i="8"/>
  <c r="G350" i="8"/>
  <c r="F1794" i="8"/>
  <c r="F1790" i="8"/>
  <c r="F1847" i="8"/>
  <c r="F1842" i="8"/>
  <c r="D1849" i="8"/>
  <c r="D1861" i="8"/>
  <c r="E1856" i="8"/>
  <c r="F1855" i="8"/>
  <c r="F1844" i="8"/>
  <c r="D1792" i="8"/>
  <c r="F1853" i="8"/>
  <c r="D1797" i="8"/>
  <c r="E1857" i="8"/>
  <c r="E1847" i="8"/>
  <c r="E1795" i="8"/>
  <c r="D1840" i="8"/>
  <c r="E1855" i="8"/>
  <c r="E1845" i="8"/>
  <c r="F1851" i="8"/>
  <c r="D1847" i="8"/>
  <c r="D1842" i="8"/>
  <c r="E1846" i="8"/>
  <c r="E1843" i="8"/>
  <c r="D1798" i="8"/>
  <c r="E1849" i="8"/>
  <c r="E1797" i="8"/>
  <c r="E1839" i="8"/>
  <c r="D1851" i="8"/>
  <c r="F1854" i="8"/>
  <c r="E1851" i="8"/>
  <c r="F1798" i="8"/>
  <c r="E1840" i="8"/>
  <c r="D1858" i="8"/>
  <c r="D1854" i="8"/>
  <c r="F1860" i="8"/>
  <c r="E1854" i="8"/>
  <c r="D1844" i="8"/>
  <c r="E1842" i="8"/>
  <c r="D1839" i="8"/>
  <c r="F1797" i="8"/>
  <c r="E1792" i="8"/>
  <c r="F1799" i="8"/>
  <c r="F1904" i="8" s="1"/>
  <c r="F1858" i="8"/>
  <c r="D1852" i="8"/>
  <c r="D1859" i="8"/>
  <c r="D1850" i="8"/>
  <c r="E1858" i="8"/>
  <c r="F1843" i="8"/>
  <c r="D1856" i="8"/>
  <c r="D1846" i="8"/>
  <c r="D1795" i="8"/>
  <c r="F1841" i="8"/>
  <c r="F1861" i="8"/>
  <c r="D1860" i="8"/>
  <c r="D1853" i="8"/>
  <c r="D1843" i="8"/>
  <c r="F1859" i="8"/>
  <c r="E1844" i="8"/>
  <c r="F1839" i="8"/>
  <c r="D1796" i="8"/>
  <c r="E1796" i="8"/>
  <c r="F1850" i="8"/>
  <c r="E1859" i="8"/>
  <c r="F1849" i="8"/>
  <c r="F1840" i="8"/>
  <c r="E1850" i="8"/>
  <c r="F1852" i="8"/>
  <c r="F1845" i="8"/>
  <c r="E1798" i="8"/>
  <c r="F1796" i="8"/>
  <c r="F1848" i="8"/>
  <c r="D1855" i="8"/>
  <c r="G1882" i="8"/>
  <c r="F1846" i="8"/>
  <c r="E1848" i="8"/>
  <c r="E1841" i="8"/>
  <c r="D1794" i="8"/>
  <c r="E1860" i="8"/>
  <c r="F1795" i="8"/>
  <c r="E1853" i="8"/>
  <c r="E1794" i="8"/>
  <c r="E1790" i="8"/>
  <c r="D1857" i="8"/>
  <c r="F1856" i="8"/>
  <c r="G1879" i="8"/>
  <c r="F1791" i="8" l="1"/>
  <c r="F1931" i="8" s="1"/>
  <c r="D1791" i="8"/>
  <c r="D1931" i="8" s="1"/>
  <c r="E1791" i="8"/>
  <c r="E1931" i="8" s="1"/>
  <c r="E1800" i="8"/>
  <c r="G1880" i="8"/>
  <c r="G1896" i="8" s="1"/>
  <c r="G1903" i="8" s="1"/>
  <c r="E1801" i="8"/>
  <c r="F1801" i="8"/>
  <c r="G455" i="8"/>
  <c r="G1849" i="8" s="1"/>
  <c r="E1861" i="8"/>
  <c r="E1862" i="8" s="1"/>
  <c r="E1870" i="8" s="1"/>
  <c r="E1871" i="8" s="1"/>
  <c r="D1848" i="8"/>
  <c r="D1862" i="8" s="1"/>
  <c r="D1870" i="8" s="1"/>
  <c r="D1790" i="8"/>
  <c r="D1800" i="8"/>
  <c r="F1862" i="8"/>
  <c r="F1870" i="8" s="1"/>
  <c r="F1871" i="8" s="1"/>
  <c r="F1800" i="8"/>
  <c r="D1904" i="8"/>
  <c r="G1840" i="8" l="1"/>
  <c r="E1813" i="8"/>
  <c r="G1791" i="8"/>
  <c r="G1798" i="8"/>
  <c r="E1814" i="8"/>
  <c r="D1813" i="8"/>
  <c r="E1809" i="8"/>
  <c r="E1816" i="8"/>
  <c r="G1852" i="8"/>
  <c r="G1844" i="8"/>
  <c r="E1823" i="8"/>
  <c r="E1818" i="8"/>
  <c r="F1806" i="8"/>
  <c r="G1848" i="8"/>
  <c r="E1806" i="8"/>
  <c r="E1812" i="8"/>
  <c r="D1817" i="8"/>
  <c r="E1805" i="8"/>
  <c r="E1820" i="8"/>
  <c r="G1843" i="8"/>
  <c r="G1850" i="8"/>
  <c r="E1815" i="8"/>
  <c r="F1807" i="8"/>
  <c r="F1809" i="8"/>
  <c r="F1818" i="8"/>
  <c r="D1823" i="8"/>
  <c r="F1810" i="8"/>
  <c r="F1812" i="8"/>
  <c r="F1808" i="8"/>
  <c r="E1822" i="8"/>
  <c r="F1816" i="8"/>
  <c r="F1813" i="8"/>
  <c r="F1815" i="8"/>
  <c r="F1820" i="8"/>
  <c r="D1819" i="8"/>
  <c r="F1811" i="8"/>
  <c r="F1814" i="8"/>
  <c r="E1819" i="8"/>
  <c r="F1824" i="8"/>
  <c r="E1810" i="8"/>
  <c r="F1821" i="8"/>
  <c r="D1871" i="8"/>
  <c r="E1811" i="8"/>
  <c r="E1824" i="8"/>
  <c r="E1807" i="8"/>
  <c r="F1819" i="8"/>
  <c r="D1807" i="8"/>
  <c r="E1821" i="8"/>
  <c r="F1822" i="8"/>
  <c r="E1808" i="8"/>
  <c r="F1817" i="8"/>
  <c r="F1823" i="8"/>
  <c r="D1822" i="8"/>
  <c r="D1808" i="8"/>
  <c r="D1806" i="8"/>
  <c r="D1812" i="8"/>
  <c r="D1818" i="8"/>
  <c r="D1815" i="8"/>
  <c r="D1821" i="8"/>
  <c r="E1817" i="8"/>
  <c r="D1809" i="8"/>
  <c r="D1805" i="8"/>
  <c r="D1816" i="8"/>
  <c r="D1820" i="8"/>
  <c r="D1801" i="8"/>
  <c r="F1805" i="8"/>
  <c r="D1810" i="8"/>
  <c r="D1814" i="8"/>
  <c r="D1811" i="8"/>
  <c r="D1824" i="8"/>
  <c r="G1799" i="8"/>
  <c r="G1904" i="8" s="1"/>
  <c r="G1846" i="8"/>
  <c r="G1792" i="8"/>
  <c r="G1839" i="8"/>
  <c r="G1858" i="8"/>
  <c r="G1842" i="8"/>
  <c r="G1859" i="8"/>
  <c r="G1851" i="8"/>
  <c r="G1857" i="8"/>
  <c r="G1855" i="8"/>
  <c r="G1797" i="8"/>
  <c r="G1861" i="8"/>
  <c r="G1841" i="8"/>
  <c r="G1845" i="8"/>
  <c r="G1931" i="8"/>
  <c r="G1794" i="8"/>
  <c r="G1856" i="8"/>
  <c r="G1795" i="8"/>
  <c r="G1860" i="8"/>
  <c r="G1854" i="8"/>
  <c r="G1796" i="8"/>
  <c r="G1790" i="8"/>
  <c r="G1853" i="8"/>
  <c r="G1847" i="8"/>
  <c r="F1825" i="8" l="1"/>
  <c r="F1832" i="8" s="1"/>
  <c r="F1834" i="8" s="1"/>
  <c r="F1835" i="8" s="1"/>
  <c r="D1825" i="8"/>
  <c r="D1832" i="8" s="1"/>
  <c r="D1834" i="8" s="1"/>
  <c r="D1835" i="8" s="1"/>
  <c r="E1825" i="8"/>
  <c r="E1832" i="8" s="1"/>
  <c r="E1834" i="8" s="1"/>
  <c r="E1835" i="8" s="1"/>
  <c r="G1815" i="8"/>
  <c r="G1800" i="8"/>
  <c r="G1813" i="8"/>
  <c r="G1817" i="8"/>
  <c r="G1816" i="8"/>
  <c r="G1818" i="8"/>
  <c r="G1812" i="8"/>
  <c r="G1824" i="8"/>
  <c r="G1806" i="8"/>
  <c r="G1819" i="8"/>
  <c r="G1820" i="8"/>
  <c r="G1822" i="8"/>
  <c r="G1807" i="8"/>
  <c r="G1821" i="8"/>
  <c r="G1805" i="8"/>
  <c r="G1809" i="8"/>
  <c r="G1814" i="8"/>
  <c r="G1823" i="8"/>
  <c r="G1810" i="8"/>
  <c r="G1801" i="8"/>
  <c r="G1811" i="8"/>
  <c r="G1808" i="8"/>
  <c r="G1862" i="8"/>
  <c r="G1870" i="8" s="1"/>
  <c r="G1871" i="8" s="1"/>
  <c r="G1825" i="8" l="1"/>
  <c r="G1832" i="8" s="1"/>
  <c r="G1834" i="8" s="1"/>
  <c r="G1835" i="8" s="1"/>
  <c r="B13" i="11" l="1"/>
  <c r="B11" i="11" s="1"/>
  <c r="B8" i="11"/>
  <c r="B5" i="11"/>
  <c r="D41" i="13" l="1"/>
  <c r="D38" i="13"/>
  <c r="D37" i="13"/>
  <c r="C35" i="13"/>
  <c r="B35" i="13"/>
  <c r="D31" i="13"/>
  <c r="D30" i="13"/>
  <c r="D28" i="13"/>
  <c r="D27" i="13"/>
  <c r="D25" i="13"/>
  <c r="D24" i="13"/>
  <c r="D23" i="13"/>
  <c r="D22" i="13"/>
  <c r="C20" i="13"/>
  <c r="B20" i="13"/>
  <c r="D16" i="13"/>
  <c r="D15" i="13"/>
  <c r="D14" i="13"/>
  <c r="C12" i="13"/>
  <c r="B12" i="13"/>
  <c r="D10" i="13"/>
  <c r="D9" i="13"/>
  <c r="D8" i="13"/>
  <c r="D7" i="13"/>
  <c r="C5" i="13"/>
  <c r="B5" i="13"/>
  <c r="B18" i="13" l="1"/>
  <c r="D35" i="13"/>
  <c r="D20" i="13"/>
  <c r="D12" i="13"/>
  <c r="D5" i="13"/>
  <c r="C18" i="13"/>
  <c r="B33" i="13" l="1"/>
  <c r="C33" i="13"/>
  <c r="D18" i="13"/>
  <c r="D33" i="13"/>
  <c r="B40" i="13"/>
  <c r="C40" i="13" l="1"/>
  <c r="D40" i="13" s="1"/>
  <c r="C109" i="4"/>
  <c r="B109" i="4"/>
  <c r="C48" i="7"/>
  <c r="D113" i="12"/>
  <c r="D19" i="12" l="1"/>
  <c r="D20" i="12"/>
  <c r="C12" i="12" l="1"/>
  <c r="D12" i="12" s="1"/>
  <c r="D13" i="12"/>
  <c r="D14" i="12"/>
  <c r="D15" i="12"/>
  <c r="C5" i="11" l="1"/>
  <c r="C512" i="4" l="1"/>
  <c r="D512" i="4" s="1"/>
  <c r="B19" i="4"/>
  <c r="B21" i="4"/>
  <c r="B762" i="4"/>
  <c r="B765" i="4"/>
  <c r="B768" i="4"/>
  <c r="B772" i="4"/>
  <c r="B778" i="4"/>
  <c r="B783" i="4"/>
  <c r="B789" i="4"/>
  <c r="B796" i="4"/>
  <c r="B800" i="4"/>
  <c r="B731" i="4"/>
  <c r="B733" i="4"/>
  <c r="B737" i="4"/>
  <c r="B736" i="4" s="1"/>
  <c r="B738" i="4"/>
  <c r="B743" i="4"/>
  <c r="B749" i="4"/>
  <c r="B752" i="4"/>
  <c r="B680" i="4"/>
  <c r="B683" i="4"/>
  <c r="B687" i="4"/>
  <c r="B689" i="4"/>
  <c r="B673" i="4"/>
  <c r="B676" i="4"/>
  <c r="B678" i="4"/>
  <c r="B696" i="4"/>
  <c r="B701" i="4"/>
  <c r="B706" i="4"/>
  <c r="B711" i="4"/>
  <c r="B710" i="4" s="1"/>
  <c r="B717" i="4"/>
  <c r="B721" i="4"/>
  <c r="B724" i="4"/>
  <c r="B637" i="4"/>
  <c r="B640" i="4"/>
  <c r="B646" i="4"/>
  <c r="B643" i="4"/>
  <c r="B652" i="4"/>
  <c r="B657" i="4"/>
  <c r="B662" i="4"/>
  <c r="B575" i="4"/>
  <c r="B578" i="4"/>
  <c r="B581" i="4"/>
  <c r="B585" i="4"/>
  <c r="B589" i="4"/>
  <c r="B591" i="4"/>
  <c r="B596" i="4"/>
  <c r="B600" i="4"/>
  <c r="B605" i="4"/>
  <c r="B611" i="4"/>
  <c r="B621" i="4"/>
  <c r="B618" i="4"/>
  <c r="B626" i="4"/>
  <c r="B549" i="4"/>
  <c r="B552" i="4"/>
  <c r="B556" i="4"/>
  <c r="B559" i="4"/>
  <c r="B564" i="4"/>
  <c r="B567" i="4"/>
  <c r="B474" i="4"/>
  <c r="B477" i="4"/>
  <c r="B480" i="4"/>
  <c r="B483" i="4"/>
  <c r="B488" i="4"/>
  <c r="B490" i="4"/>
  <c r="B494" i="4"/>
  <c r="B466" i="4"/>
  <c r="B468" i="4"/>
  <c r="B438" i="4"/>
  <c r="B441" i="4"/>
  <c r="B445" i="4"/>
  <c r="B447" i="4"/>
  <c r="B453" i="4"/>
  <c r="B457" i="4"/>
  <c r="B463" i="4"/>
  <c r="B462" i="4" s="1"/>
  <c r="B417" i="4"/>
  <c r="B419" i="4"/>
  <c r="B423" i="4"/>
  <c r="B426" i="4"/>
  <c r="B430" i="4"/>
  <c r="B432" i="4"/>
  <c r="B406" i="4"/>
  <c r="D406" i="4" s="1"/>
  <c r="B409" i="4"/>
  <c r="B411" i="4"/>
  <c r="B390" i="4"/>
  <c r="B396" i="4"/>
  <c r="B399" i="4"/>
  <c r="B401" i="4"/>
  <c r="C390" i="4"/>
  <c r="C389" i="4" s="1"/>
  <c r="C396" i="4"/>
  <c r="C399" i="4"/>
  <c r="B376" i="4"/>
  <c r="B381" i="4"/>
  <c r="B384" i="4"/>
  <c r="B210" i="4"/>
  <c r="B215" i="4"/>
  <c r="B219" i="4"/>
  <c r="B223" i="4"/>
  <c r="B226" i="4"/>
  <c r="B230" i="4"/>
  <c r="B234" i="4"/>
  <c r="B238" i="4"/>
  <c r="B242" i="4"/>
  <c r="B246" i="4"/>
  <c r="B249" i="4"/>
  <c r="B253" i="4"/>
  <c r="B257" i="4"/>
  <c r="B260" i="4"/>
  <c r="B264" i="4"/>
  <c r="B268" i="4"/>
  <c r="B271" i="4"/>
  <c r="B276" i="4"/>
  <c r="B279" i="4"/>
  <c r="B283" i="4"/>
  <c r="B287" i="4"/>
  <c r="B291" i="4"/>
  <c r="B104" i="4"/>
  <c r="B106" i="4"/>
  <c r="B113" i="4"/>
  <c r="B118" i="4"/>
  <c r="B122" i="4"/>
  <c r="B128" i="4"/>
  <c r="B134" i="4"/>
  <c r="B138" i="4"/>
  <c r="B137" i="4" s="1"/>
  <c r="B141" i="4"/>
  <c r="B152" i="4"/>
  <c r="B155" i="4"/>
  <c r="B157" i="4"/>
  <c r="B162" i="4"/>
  <c r="B167" i="4"/>
  <c r="B171" i="4"/>
  <c r="B176" i="4"/>
  <c r="B175" i="4" s="1"/>
  <c r="B181" i="4"/>
  <c r="B186" i="4"/>
  <c r="B185" i="4" s="1"/>
  <c r="B189" i="4"/>
  <c r="B194" i="4"/>
  <c r="B198" i="4"/>
  <c r="B203" i="4"/>
  <c r="C104" i="4"/>
  <c r="C106" i="4"/>
  <c r="C113" i="4"/>
  <c r="C122" i="4"/>
  <c r="C128" i="4"/>
  <c r="C134" i="4"/>
  <c r="C138" i="4"/>
  <c r="C137" i="4" s="1"/>
  <c r="C141" i="4"/>
  <c r="C151" i="4"/>
  <c r="C152" i="4"/>
  <c r="C155" i="4"/>
  <c r="C157" i="4"/>
  <c r="C162" i="4"/>
  <c r="C167" i="4"/>
  <c r="C171" i="4"/>
  <c r="C175" i="4"/>
  <c r="C185" i="4"/>
  <c r="C183" i="4"/>
  <c r="C198" i="4"/>
  <c r="C197" i="4" s="1"/>
  <c r="B39" i="4"/>
  <c r="B45" i="4"/>
  <c r="B48" i="4"/>
  <c r="D48" i="4" s="1"/>
  <c r="B53" i="4"/>
  <c r="B51" i="4" s="1"/>
  <c r="B56" i="4"/>
  <c r="B67" i="4"/>
  <c r="B71" i="4"/>
  <c r="B75" i="4"/>
  <c r="B78" i="4"/>
  <c r="B83" i="4"/>
  <c r="B82" i="4" s="1"/>
  <c r="B89" i="4"/>
  <c r="B94" i="4"/>
  <c r="B97" i="4"/>
  <c r="C36" i="4"/>
  <c r="C39" i="4"/>
  <c r="C50" i="4"/>
  <c r="C44" i="4" s="1"/>
  <c r="C53" i="4"/>
  <c r="C51" i="4" s="1"/>
  <c r="C62" i="4"/>
  <c r="D62" i="4" s="1"/>
  <c r="C66" i="4"/>
  <c r="C69" i="4"/>
  <c r="C75" i="4"/>
  <c r="C78" i="4"/>
  <c r="C82" i="4"/>
  <c r="C91" i="4"/>
  <c r="C96" i="4"/>
  <c r="C99" i="4"/>
  <c r="B26" i="4"/>
  <c r="B29" i="4"/>
  <c r="B14" i="4"/>
  <c r="B12" i="4"/>
  <c r="B13" i="4"/>
  <c r="D13" i="4" s="1"/>
  <c r="D293" i="4"/>
  <c r="D274" i="4"/>
  <c r="D262" i="4"/>
  <c r="D251" i="4"/>
  <c r="D240" i="4"/>
  <c r="D228" i="4"/>
  <c r="D217" i="4"/>
  <c r="B504" i="4"/>
  <c r="B507" i="4"/>
  <c r="B511" i="4"/>
  <c r="B514" i="4"/>
  <c r="B519" i="4"/>
  <c r="B527" i="4"/>
  <c r="B530" i="4"/>
  <c r="B535" i="4"/>
  <c r="B541" i="4"/>
  <c r="B6" i="4"/>
  <c r="C57" i="12"/>
  <c r="D68" i="12"/>
  <c r="B54" i="12"/>
  <c r="D54" i="12" s="1"/>
  <c r="D121" i="12"/>
  <c r="D120" i="12"/>
  <c r="D118" i="12"/>
  <c r="D117" i="12"/>
  <c r="D116" i="12"/>
  <c r="D115" i="12"/>
  <c r="D114" i="12"/>
  <c r="D112" i="12"/>
  <c r="D111" i="12"/>
  <c r="D110" i="12"/>
  <c r="D109" i="12"/>
  <c r="D108" i="12"/>
  <c r="D107" i="12"/>
  <c r="D105" i="12"/>
  <c r="D104" i="12"/>
  <c r="D103" i="12"/>
  <c r="D102" i="12"/>
  <c r="D99" i="12"/>
  <c r="D98" i="12"/>
  <c r="D97" i="12"/>
  <c r="D95" i="12"/>
  <c r="D94" i="12"/>
  <c r="D91" i="12"/>
  <c r="D90" i="12"/>
  <c r="D89" i="12"/>
  <c r="D88" i="12"/>
  <c r="D86" i="12"/>
  <c r="D84" i="12"/>
  <c r="D83" i="12"/>
  <c r="D82" i="12"/>
  <c r="D80" i="12"/>
  <c r="D79" i="12"/>
  <c r="D77" i="12"/>
  <c r="D75" i="12"/>
  <c r="D74" i="12"/>
  <c r="D72" i="12"/>
  <c r="D71" i="12"/>
  <c r="D69" i="12"/>
  <c r="D67" i="12"/>
  <c r="D65" i="12"/>
  <c r="D64" i="12"/>
  <c r="D63" i="12"/>
  <c r="D61" i="12"/>
  <c r="D60" i="12"/>
  <c r="D59" i="12"/>
  <c r="D58" i="12"/>
  <c r="D56" i="12"/>
  <c r="D55" i="12"/>
  <c r="D53" i="12"/>
  <c r="D52" i="12"/>
  <c r="D51" i="12"/>
  <c r="D50" i="12"/>
  <c r="D49" i="12"/>
  <c r="D48" i="12"/>
  <c r="D46" i="12"/>
  <c r="D45" i="12"/>
  <c r="D43" i="12"/>
  <c r="D42" i="12"/>
  <c r="D40" i="12"/>
  <c r="D37" i="12"/>
  <c r="D36" i="12"/>
  <c r="D34" i="12"/>
  <c r="D33" i="12"/>
  <c r="D32" i="12"/>
  <c r="D30" i="12"/>
  <c r="D27" i="12"/>
  <c r="D25" i="12"/>
  <c r="D24" i="12"/>
  <c r="D23" i="12" s="1"/>
  <c r="D17" i="12"/>
  <c r="D16" i="12"/>
  <c r="D11" i="12"/>
  <c r="D7" i="12"/>
  <c r="C119" i="12"/>
  <c r="C100" i="12"/>
  <c r="C96" i="12"/>
  <c r="C81" i="12"/>
  <c r="C78" i="12"/>
  <c r="D78" i="12" s="1"/>
  <c r="C70" i="12"/>
  <c r="C47" i="12"/>
  <c r="C31" i="12"/>
  <c r="C26" i="12" s="1"/>
  <c r="C22" i="12"/>
  <c r="D22" i="12" s="1"/>
  <c r="C9" i="12"/>
  <c r="D802" i="4"/>
  <c r="D801" i="4"/>
  <c r="D799" i="4"/>
  <c r="D798" i="4"/>
  <c r="D797" i="4"/>
  <c r="C796" i="4"/>
  <c r="C795" i="4" s="1"/>
  <c r="D794" i="4"/>
  <c r="D793" i="4"/>
  <c r="D792" i="4"/>
  <c r="D791" i="4"/>
  <c r="D790" i="4"/>
  <c r="C789" i="4"/>
  <c r="C788" i="4" s="1"/>
  <c r="D787" i="4"/>
  <c r="D786" i="4"/>
  <c r="C785" i="4"/>
  <c r="D785" i="4" s="1"/>
  <c r="D784" i="4"/>
  <c r="D781" i="4"/>
  <c r="D780" i="4"/>
  <c r="D779" i="4"/>
  <c r="C778" i="4"/>
  <c r="D778" i="4" s="1"/>
  <c r="D776" i="4"/>
  <c r="D775" i="4"/>
  <c r="D774" i="4"/>
  <c r="D773" i="4"/>
  <c r="C772" i="4"/>
  <c r="D771" i="4"/>
  <c r="D770" i="4"/>
  <c r="D769" i="4"/>
  <c r="C768" i="4"/>
  <c r="D767" i="4"/>
  <c r="D766" i="4"/>
  <c r="C765" i="4"/>
  <c r="D764" i="4"/>
  <c r="D763" i="4"/>
  <c r="C762" i="4"/>
  <c r="D760" i="4"/>
  <c r="D758" i="4"/>
  <c r="D757" i="4"/>
  <c r="D756" i="4"/>
  <c r="D755" i="4"/>
  <c r="D754" i="4"/>
  <c r="D753" i="4"/>
  <c r="C752" i="4"/>
  <c r="D751" i="4"/>
  <c r="D750" i="4"/>
  <c r="C749" i="4"/>
  <c r="D748" i="4"/>
  <c r="D747" i="4"/>
  <c r="D746" i="4"/>
  <c r="D745" i="4"/>
  <c r="D744" i="4"/>
  <c r="C743" i="4"/>
  <c r="D741" i="4"/>
  <c r="D740" i="4"/>
  <c r="D739" i="4"/>
  <c r="C738" i="4"/>
  <c r="D738" i="4" s="1"/>
  <c r="C736" i="4"/>
  <c r="D735" i="4"/>
  <c r="D734" i="4"/>
  <c r="C733" i="4"/>
  <c r="D732" i="4"/>
  <c r="C731" i="4"/>
  <c r="D729" i="4"/>
  <c r="D727" i="4"/>
  <c r="D726" i="4"/>
  <c r="D725" i="4"/>
  <c r="C724" i="4"/>
  <c r="D723" i="4"/>
  <c r="D722" i="4"/>
  <c r="C721" i="4"/>
  <c r="D720" i="4"/>
  <c r="D719" i="4"/>
  <c r="D718" i="4"/>
  <c r="D715" i="4"/>
  <c r="D714" i="4"/>
  <c r="D713" i="4"/>
  <c r="D712" i="4"/>
  <c r="C710" i="4"/>
  <c r="D709" i="4"/>
  <c r="D708" i="4"/>
  <c r="D707" i="4"/>
  <c r="C706" i="4"/>
  <c r="C705" i="4" s="1"/>
  <c r="D704" i="4"/>
  <c r="D703" i="4"/>
  <c r="D702" i="4"/>
  <c r="C701" i="4"/>
  <c r="D700" i="4"/>
  <c r="D699" i="4"/>
  <c r="D698" i="4"/>
  <c r="D697" i="4"/>
  <c r="C696" i="4"/>
  <c r="D694" i="4"/>
  <c r="D693" i="4"/>
  <c r="D692" i="4"/>
  <c r="D691" i="4"/>
  <c r="D690" i="4"/>
  <c r="C689" i="4"/>
  <c r="D688" i="4"/>
  <c r="C687" i="4"/>
  <c r="D686" i="4"/>
  <c r="D685" i="4"/>
  <c r="D684" i="4"/>
  <c r="C683" i="4"/>
  <c r="D682" i="4"/>
  <c r="D681" i="4"/>
  <c r="C680" i="4"/>
  <c r="D679" i="4"/>
  <c r="C678" i="4"/>
  <c r="D677" i="4"/>
  <c r="C676" i="4"/>
  <c r="D675" i="4"/>
  <c r="D674" i="4"/>
  <c r="C673" i="4"/>
  <c r="D671" i="4"/>
  <c r="D669" i="4"/>
  <c r="D668" i="4"/>
  <c r="D667" i="4"/>
  <c r="D666" i="4"/>
  <c r="D665" i="4"/>
  <c r="D664" i="4"/>
  <c r="D663" i="4"/>
  <c r="C662" i="4"/>
  <c r="C661" i="4" s="1"/>
  <c r="D660" i="4"/>
  <c r="D659" i="4"/>
  <c r="D658" i="4"/>
  <c r="C657" i="4"/>
  <c r="D656" i="4"/>
  <c r="D655" i="4"/>
  <c r="D654" i="4"/>
  <c r="D653" i="4"/>
  <c r="C652" i="4"/>
  <c r="D650" i="4"/>
  <c r="D649" i="4"/>
  <c r="D648" i="4"/>
  <c r="D647" i="4"/>
  <c r="C646" i="4"/>
  <c r="D645" i="4"/>
  <c r="D644" i="4"/>
  <c r="C643" i="4"/>
  <c r="D642" i="4"/>
  <c r="D641" i="4"/>
  <c r="D639" i="4"/>
  <c r="D638" i="4"/>
  <c r="D635" i="4"/>
  <c r="D633" i="4"/>
  <c r="D632" i="4"/>
  <c r="D631" i="4"/>
  <c r="D630" i="4"/>
  <c r="D629" i="4"/>
  <c r="D628" i="4"/>
  <c r="D627" i="4"/>
  <c r="C626" i="4"/>
  <c r="C625" i="4" s="1"/>
  <c r="D624" i="4"/>
  <c r="D623" i="4"/>
  <c r="D622" i="4"/>
  <c r="D620" i="4"/>
  <c r="D619" i="4"/>
  <c r="D616" i="4"/>
  <c r="D615" i="4"/>
  <c r="D614" i="4"/>
  <c r="D613" i="4"/>
  <c r="D612" i="4"/>
  <c r="C611" i="4"/>
  <c r="C610" i="4" s="1"/>
  <c r="D609" i="4"/>
  <c r="D608" i="4"/>
  <c r="D607" i="4"/>
  <c r="D606" i="4"/>
  <c r="C605" i="4"/>
  <c r="C604" i="4" s="1"/>
  <c r="D603" i="4"/>
  <c r="D602" i="4"/>
  <c r="D601" i="4"/>
  <c r="D599" i="4"/>
  <c r="D598" i="4"/>
  <c r="D597" i="4"/>
  <c r="C596" i="4"/>
  <c r="D594" i="4"/>
  <c r="D593" i="4"/>
  <c r="D592" i="4"/>
  <c r="D590" i="4"/>
  <c r="C589" i="4"/>
  <c r="C588" i="4" s="1"/>
  <c r="D587" i="4"/>
  <c r="D586" i="4"/>
  <c r="C585" i="4"/>
  <c r="D584" i="4"/>
  <c r="D583" i="4"/>
  <c r="D582" i="4"/>
  <c r="C581" i="4"/>
  <c r="D580" i="4"/>
  <c r="D579" i="4"/>
  <c r="C578" i="4"/>
  <c r="D577" i="4"/>
  <c r="D576" i="4"/>
  <c r="C575" i="4"/>
  <c r="D573" i="4"/>
  <c r="D571" i="4"/>
  <c r="D570" i="4"/>
  <c r="D569" i="4"/>
  <c r="D568" i="4"/>
  <c r="C567" i="4"/>
  <c r="C563" i="4" s="1"/>
  <c r="D566" i="4"/>
  <c r="D565" i="4"/>
  <c r="D562" i="4"/>
  <c r="D561" i="4"/>
  <c r="D560" i="4"/>
  <c r="C559" i="4"/>
  <c r="D558" i="4"/>
  <c r="D557" i="4"/>
  <c r="C556" i="4"/>
  <c r="D555" i="4"/>
  <c r="D554" i="4"/>
  <c r="D553" i="4"/>
  <c r="C552" i="4"/>
  <c r="D551" i="4"/>
  <c r="D550" i="4"/>
  <c r="D547" i="4"/>
  <c r="D545" i="4"/>
  <c r="D544" i="4"/>
  <c r="D543" i="4"/>
  <c r="D542" i="4"/>
  <c r="D540" i="4"/>
  <c r="D539" i="4"/>
  <c r="D538" i="4"/>
  <c r="D537" i="4"/>
  <c r="D536" i="4"/>
  <c r="D533" i="4"/>
  <c r="D532" i="4"/>
  <c r="D531" i="4"/>
  <c r="D529" i="4"/>
  <c r="D528" i="4"/>
  <c r="C527" i="4"/>
  <c r="D525" i="4"/>
  <c r="D524" i="4"/>
  <c r="D523" i="4"/>
  <c r="D522" i="4"/>
  <c r="D521" i="4"/>
  <c r="D520" i="4"/>
  <c r="C519" i="4"/>
  <c r="C518" i="4" s="1"/>
  <c r="D517" i="4"/>
  <c r="D516" i="4"/>
  <c r="D515" i="4"/>
  <c r="C514" i="4"/>
  <c r="D513" i="4"/>
  <c r="D510" i="4"/>
  <c r="D509" i="4"/>
  <c r="D508" i="4"/>
  <c r="C507" i="4"/>
  <c r="D506" i="4"/>
  <c r="D505" i="4"/>
  <c r="D502" i="4"/>
  <c r="D500" i="4"/>
  <c r="D499" i="4"/>
  <c r="D498" i="4"/>
  <c r="D497" i="4"/>
  <c r="D496" i="4"/>
  <c r="D495" i="4"/>
  <c r="C494" i="4"/>
  <c r="D492" i="4"/>
  <c r="D491" i="4"/>
  <c r="D489" i="4"/>
  <c r="D486" i="4"/>
  <c r="D485" i="4"/>
  <c r="D484" i="4"/>
  <c r="C483" i="4"/>
  <c r="D482" i="4"/>
  <c r="D481" i="4"/>
  <c r="C480" i="4"/>
  <c r="D479" i="4"/>
  <c r="D478" i="4"/>
  <c r="D476" i="4"/>
  <c r="D475" i="4"/>
  <c r="D472" i="4"/>
  <c r="D470" i="4"/>
  <c r="D469" i="4"/>
  <c r="D467" i="4"/>
  <c r="D464" i="4"/>
  <c r="D460" i="4"/>
  <c r="D459" i="4"/>
  <c r="D458" i="4"/>
  <c r="C457" i="4"/>
  <c r="D456" i="4"/>
  <c r="D455" i="4"/>
  <c r="D454" i="4"/>
  <c r="C453" i="4"/>
  <c r="D451" i="4"/>
  <c r="D450" i="4"/>
  <c r="D449" i="4"/>
  <c r="D448" i="4"/>
  <c r="C447" i="4"/>
  <c r="D446" i="4"/>
  <c r="C445" i="4"/>
  <c r="D443" i="4"/>
  <c r="D442" i="4"/>
  <c r="C441" i="4"/>
  <c r="C440" i="4"/>
  <c r="C439" i="4"/>
  <c r="D439" i="4" s="1"/>
  <c r="D436" i="4"/>
  <c r="D434" i="4"/>
  <c r="D433" i="4"/>
  <c r="D431" i="4"/>
  <c r="C430" i="4"/>
  <c r="C429" i="4" s="1"/>
  <c r="D428" i="4"/>
  <c r="D427" i="4"/>
  <c r="D425" i="4"/>
  <c r="D424" i="4"/>
  <c r="C423" i="4"/>
  <c r="D422" i="4"/>
  <c r="D421" i="4"/>
  <c r="D420" i="4"/>
  <c r="D418" i="4"/>
  <c r="D415" i="4"/>
  <c r="D413" i="4"/>
  <c r="D412" i="4"/>
  <c r="C410" i="4"/>
  <c r="D410" i="4" s="1"/>
  <c r="D408" i="4"/>
  <c r="D407" i="4"/>
  <c r="C405" i="4"/>
  <c r="D403" i="4"/>
  <c r="D402" i="4"/>
  <c r="D400" i="4"/>
  <c r="D398" i="4"/>
  <c r="D397" i="4"/>
  <c r="D394" i="4"/>
  <c r="D393" i="4"/>
  <c r="D392" i="4"/>
  <c r="D391" i="4"/>
  <c r="D388" i="4"/>
  <c r="D386" i="4"/>
  <c r="D385" i="4"/>
  <c r="D383" i="4"/>
  <c r="D382" i="4"/>
  <c r="C381" i="4"/>
  <c r="D380" i="4"/>
  <c r="D379" i="4"/>
  <c r="D378" i="4"/>
  <c r="D377" i="4"/>
  <c r="C376" i="4"/>
  <c r="D374" i="4"/>
  <c r="D373" i="4"/>
  <c r="C372" i="4"/>
  <c r="D371" i="4"/>
  <c r="C370" i="4"/>
  <c r="D370" i="4" s="1"/>
  <c r="D368" i="4"/>
  <c r="D367" i="4"/>
  <c r="B366" i="4"/>
  <c r="C366" i="4"/>
  <c r="C365" i="4" s="1"/>
  <c r="D364" i="4"/>
  <c r="D363" i="4"/>
  <c r="D362" i="4"/>
  <c r="D361" i="4"/>
  <c r="B360" i="4"/>
  <c r="C360" i="4"/>
  <c r="C359" i="4" s="1"/>
  <c r="D358" i="4"/>
  <c r="D357" i="4"/>
  <c r="C356" i="4"/>
  <c r="D356" i="4" s="1"/>
  <c r="D355" i="4"/>
  <c r="B354" i="4"/>
  <c r="C354" i="4"/>
  <c r="D353" i="4"/>
  <c r="D352" i="4"/>
  <c r="B351" i="4"/>
  <c r="C351" i="4"/>
  <c r="D350" i="4"/>
  <c r="D349" i="4"/>
  <c r="D348" i="4"/>
  <c r="D347" i="4"/>
  <c r="D346" i="4"/>
  <c r="B345" i="4"/>
  <c r="C345" i="4"/>
  <c r="D343" i="4"/>
  <c r="D342" i="4"/>
  <c r="C341" i="4"/>
  <c r="D341" i="4" s="1"/>
  <c r="D340" i="4"/>
  <c r="B339" i="4"/>
  <c r="C339" i="4"/>
  <c r="D338" i="4"/>
  <c r="D337" i="4"/>
  <c r="B336" i="4"/>
  <c r="C336" i="4"/>
  <c r="D335" i="4"/>
  <c r="D334" i="4"/>
  <c r="B333" i="4"/>
  <c r="C333" i="4"/>
  <c r="D331" i="4"/>
  <c r="D330" i="4"/>
  <c r="C329" i="4"/>
  <c r="D328" i="4"/>
  <c r="D327" i="4"/>
  <c r="D326" i="4"/>
  <c r="D325" i="4"/>
  <c r="D324" i="4"/>
  <c r="B323" i="4"/>
  <c r="C323" i="4"/>
  <c r="D321" i="4"/>
  <c r="D320" i="4"/>
  <c r="D319" i="4"/>
  <c r="B318" i="4"/>
  <c r="C318" i="4"/>
  <c r="D317" i="4"/>
  <c r="D316" i="4"/>
  <c r="B315" i="4"/>
  <c r="C315" i="4"/>
  <c r="D313" i="4"/>
  <c r="D312" i="4"/>
  <c r="D311" i="4"/>
  <c r="B310" i="4"/>
  <c r="C310" i="4"/>
  <c r="D309" i="4"/>
  <c r="D308" i="4"/>
  <c r="D307" i="4"/>
  <c r="D306" i="4"/>
  <c r="D305" i="4"/>
  <c r="B304" i="4"/>
  <c r="C304" i="4"/>
  <c r="D302" i="4"/>
  <c r="D301" i="4"/>
  <c r="D300" i="4"/>
  <c r="D299" i="4"/>
  <c r="B298" i="4"/>
  <c r="D296" i="4"/>
  <c r="D294" i="4"/>
  <c r="D292" i="4"/>
  <c r="C291" i="4"/>
  <c r="D290" i="4"/>
  <c r="D289" i="4"/>
  <c r="D288" i="4"/>
  <c r="C287" i="4"/>
  <c r="D286" i="4"/>
  <c r="D285" i="4"/>
  <c r="D284" i="4"/>
  <c r="C283" i="4"/>
  <c r="C282" i="4" s="1"/>
  <c r="D281" i="4"/>
  <c r="D280" i="4"/>
  <c r="C279" i="4"/>
  <c r="D278" i="4"/>
  <c r="D277" i="4"/>
  <c r="C276" i="4"/>
  <c r="D273" i="4"/>
  <c r="D272" i="4"/>
  <c r="C271" i="4"/>
  <c r="D270" i="4"/>
  <c r="D269" i="4"/>
  <c r="C268" i="4"/>
  <c r="D267" i="4"/>
  <c r="D266" i="4"/>
  <c r="D265" i="4"/>
  <c r="C264" i="4"/>
  <c r="D261" i="4"/>
  <c r="C260" i="4"/>
  <c r="D259" i="4"/>
  <c r="D258" i="4"/>
  <c r="C257" i="4"/>
  <c r="D256" i="4"/>
  <c r="D255" i="4"/>
  <c r="D254" i="4"/>
  <c r="C253" i="4"/>
  <c r="D250" i="4"/>
  <c r="C249" i="4"/>
  <c r="D248" i="4"/>
  <c r="D247" i="4"/>
  <c r="C246" i="4"/>
  <c r="D245" i="4"/>
  <c r="D244" i="4"/>
  <c r="D243" i="4"/>
  <c r="C242" i="4"/>
  <c r="D239" i="4"/>
  <c r="C238" i="4"/>
  <c r="D237" i="4"/>
  <c r="D236" i="4"/>
  <c r="D235" i="4"/>
  <c r="C234" i="4"/>
  <c r="D233" i="4"/>
  <c r="D232" i="4"/>
  <c r="D231" i="4"/>
  <c r="C230" i="4"/>
  <c r="D227" i="4"/>
  <c r="C226" i="4"/>
  <c r="D225" i="4"/>
  <c r="D224" i="4"/>
  <c r="C223" i="4"/>
  <c r="D222" i="4"/>
  <c r="D221" i="4"/>
  <c r="D220" i="4"/>
  <c r="C219" i="4"/>
  <c r="D216" i="4"/>
  <c r="D214" i="4"/>
  <c r="D213" i="4"/>
  <c r="D212" i="4"/>
  <c r="D211" i="4"/>
  <c r="C210" i="4"/>
  <c r="C209" i="4" s="1"/>
  <c r="D208" i="4"/>
  <c r="D206" i="4"/>
  <c r="D205" i="4"/>
  <c r="D204" i="4"/>
  <c r="D202" i="4"/>
  <c r="D201" i="4"/>
  <c r="D200" i="4"/>
  <c r="D199" i="4"/>
  <c r="D196" i="4"/>
  <c r="D195" i="4"/>
  <c r="D193" i="4"/>
  <c r="D192" i="4"/>
  <c r="D191" i="4"/>
  <c r="D190" i="4"/>
  <c r="D187" i="4"/>
  <c r="D184" i="4"/>
  <c r="B183" i="4"/>
  <c r="D182" i="4"/>
  <c r="D181" i="4"/>
  <c r="D180" i="4"/>
  <c r="D179" i="4"/>
  <c r="D178" i="4"/>
  <c r="D177" i="4"/>
  <c r="D173" i="4"/>
  <c r="D172" i="4"/>
  <c r="D170" i="4"/>
  <c r="D169" i="4"/>
  <c r="D168" i="4"/>
  <c r="D166" i="4"/>
  <c r="D165" i="4"/>
  <c r="D164" i="4"/>
  <c r="D163" i="4"/>
  <c r="D160" i="4"/>
  <c r="D159" i="4"/>
  <c r="D158" i="4"/>
  <c r="D156" i="4"/>
  <c r="D154" i="4"/>
  <c r="D153" i="4"/>
  <c r="D150" i="4"/>
  <c r="D148" i="4"/>
  <c r="D145" i="4"/>
  <c r="D144" i="4"/>
  <c r="D143" i="4"/>
  <c r="D142" i="4"/>
  <c r="D139" i="4"/>
  <c r="D136" i="4"/>
  <c r="D135" i="4"/>
  <c r="D133" i="4"/>
  <c r="D132" i="4"/>
  <c r="D131" i="4"/>
  <c r="D130" i="4"/>
  <c r="D129" i="4"/>
  <c r="D126" i="4"/>
  <c r="D125" i="4"/>
  <c r="D124" i="4"/>
  <c r="D123" i="4"/>
  <c r="D120" i="4"/>
  <c r="D119" i="4"/>
  <c r="D117" i="4"/>
  <c r="D116" i="4"/>
  <c r="D115" i="4"/>
  <c r="D114" i="4"/>
  <c r="D111" i="4"/>
  <c r="D110" i="4"/>
  <c r="D109" i="4" s="1"/>
  <c r="D108" i="4"/>
  <c r="D107" i="4"/>
  <c r="D105" i="4"/>
  <c r="D102" i="4"/>
  <c r="D100" i="4"/>
  <c r="D98" i="4"/>
  <c r="D95" i="4"/>
  <c r="D92" i="4"/>
  <c r="D90" i="4"/>
  <c r="D88" i="4"/>
  <c r="D87" i="4"/>
  <c r="D86" i="4"/>
  <c r="D85" i="4"/>
  <c r="D84" i="4"/>
  <c r="D80" i="4"/>
  <c r="D79" i="4"/>
  <c r="D77" i="4"/>
  <c r="D76" i="4"/>
  <c r="D73" i="4"/>
  <c r="D72" i="4"/>
  <c r="D70" i="4"/>
  <c r="D68" i="4"/>
  <c r="D65" i="4"/>
  <c r="D64" i="4"/>
  <c r="D63" i="4"/>
  <c r="D61" i="4"/>
  <c r="D60" i="4"/>
  <c r="D59" i="4"/>
  <c r="D58" i="4"/>
  <c r="D57" i="4"/>
  <c r="D54" i="4"/>
  <c r="D52" i="4"/>
  <c r="D49" i="4"/>
  <c r="D47" i="4"/>
  <c r="D46" i="4"/>
  <c r="D42" i="4"/>
  <c r="D41" i="4"/>
  <c r="D40" i="4"/>
  <c r="D38" i="4"/>
  <c r="D34" i="4"/>
  <c r="D32" i="4"/>
  <c r="D31" i="4"/>
  <c r="D30" i="4"/>
  <c r="D28" i="4"/>
  <c r="D27" i="4"/>
  <c r="D24" i="4"/>
  <c r="D23" i="4"/>
  <c r="D22" i="4"/>
  <c r="D20" i="4"/>
  <c r="C19" i="4"/>
  <c r="C18" i="4" s="1"/>
  <c r="C808" i="4" s="1"/>
  <c r="D17" i="4"/>
  <c r="D16" i="4"/>
  <c r="D15" i="4"/>
  <c r="D9" i="4"/>
  <c r="D8" i="4"/>
  <c r="D7" i="4"/>
  <c r="C6" i="4"/>
  <c r="C807" i="4"/>
  <c r="C809" i="4"/>
  <c r="C819" i="4"/>
  <c r="C64" i="7"/>
  <c r="C57" i="7"/>
  <c r="C56" i="7" s="1"/>
  <c r="C44" i="7"/>
  <c r="C37" i="7" s="1"/>
  <c r="C39" i="7"/>
  <c r="C33" i="7"/>
  <c r="C31" i="7"/>
  <c r="C27" i="7"/>
  <c r="C14" i="7"/>
  <c r="C13" i="7" s="1"/>
  <c r="C12" i="7" s="1"/>
  <c r="C9" i="7"/>
  <c r="C6" i="7"/>
  <c r="B9" i="12"/>
  <c r="B119" i="12"/>
  <c r="B106" i="12"/>
  <c r="D106" i="12" s="1"/>
  <c r="B101" i="12"/>
  <c r="D101" i="12" s="1"/>
  <c r="B96" i="12"/>
  <c r="B93" i="12"/>
  <c r="D93" i="12" s="1"/>
  <c r="B87" i="12"/>
  <c r="D87" i="12" s="1"/>
  <c r="B81" i="12"/>
  <c r="B76" i="12"/>
  <c r="D76" i="12" s="1"/>
  <c r="B70" i="12"/>
  <c r="B66" i="12"/>
  <c r="D66" i="12" s="1"/>
  <c r="B62" i="12"/>
  <c r="D62" i="12" s="1"/>
  <c r="B47" i="12"/>
  <c r="B44" i="12"/>
  <c r="D44" i="12" s="1"/>
  <c r="B41" i="12"/>
  <c r="D41" i="12" s="1"/>
  <c r="B35" i="12"/>
  <c r="D35" i="12" s="1"/>
  <c r="B31" i="12"/>
  <c r="B29" i="12"/>
  <c r="D29" i="12" s="1"/>
  <c r="B10" i="12"/>
  <c r="D74" i="7"/>
  <c r="D73" i="7"/>
  <c r="D71" i="7"/>
  <c r="D70" i="7"/>
  <c r="D68" i="7"/>
  <c r="D67" i="7"/>
  <c r="D66" i="7"/>
  <c r="D63" i="7"/>
  <c r="D62" i="7"/>
  <c r="C41" i="6" s="1"/>
  <c r="E41" i="6" s="1"/>
  <c r="D61" i="7"/>
  <c r="C40" i="6" s="1"/>
  <c r="E40" i="6" s="1"/>
  <c r="D60" i="7"/>
  <c r="D59" i="7"/>
  <c r="D58" i="7"/>
  <c r="D55" i="7"/>
  <c r="D54" i="7"/>
  <c r="D51" i="7"/>
  <c r="D50" i="7"/>
  <c r="D47" i="7"/>
  <c r="D46" i="7"/>
  <c r="D43" i="7"/>
  <c r="D42" i="7"/>
  <c r="D41" i="7"/>
  <c r="D40" i="7"/>
  <c r="D38" i="7"/>
  <c r="D35" i="7"/>
  <c r="D34" i="7"/>
  <c r="D32" i="7"/>
  <c r="D29" i="7"/>
  <c r="D28" i="7"/>
  <c r="D26" i="7"/>
  <c r="D25" i="7"/>
  <c r="D23" i="7"/>
  <c r="D22" i="7"/>
  <c r="D21" i="7"/>
  <c r="D20" i="7"/>
  <c r="D18" i="7"/>
  <c r="D15" i="7"/>
  <c r="D11" i="7"/>
  <c r="D10" i="7"/>
  <c r="D8" i="7"/>
  <c r="B69" i="7"/>
  <c r="D69" i="7" s="1"/>
  <c r="C48" i="6" s="1"/>
  <c r="E48" i="6" s="1"/>
  <c r="B65" i="7"/>
  <c r="D65" i="7" s="1"/>
  <c r="C44" i="6" s="1"/>
  <c r="E44" i="6" s="1"/>
  <c r="B57" i="7"/>
  <c r="B53" i="7"/>
  <c r="D53" i="7" s="1"/>
  <c r="B45" i="7"/>
  <c r="D45" i="7" s="1"/>
  <c r="B39" i="7"/>
  <c r="B33" i="7"/>
  <c r="B31" i="7"/>
  <c r="B24" i="7"/>
  <c r="B19" i="7"/>
  <c r="D19" i="7" s="1"/>
  <c r="B17" i="7"/>
  <c r="D17" i="7" s="1"/>
  <c r="B14" i="7"/>
  <c r="D14" i="7" s="1"/>
  <c r="B9" i="7"/>
  <c r="B7" i="7"/>
  <c r="D7" i="7" s="1"/>
  <c r="C7" i="17"/>
  <c r="C12" i="17"/>
  <c r="C13" i="17"/>
  <c r="C18" i="17"/>
  <c r="C21" i="17"/>
  <c r="C22" i="17"/>
  <c r="C10" i="17"/>
  <c r="C19" i="17"/>
  <c r="C4" i="17"/>
  <c r="C20" i="17"/>
  <c r="C17" i="17"/>
  <c r="C14" i="17"/>
  <c r="C11" i="17"/>
  <c r="C16" i="17"/>
  <c r="C15" i="17"/>
  <c r="C6" i="17"/>
  <c r="C23" i="17"/>
  <c r="C30" i="17"/>
  <c r="C32" i="17"/>
  <c r="C5" i="17"/>
  <c r="C13" i="11"/>
  <c r="C11" i="11" s="1"/>
  <c r="C8" i="11"/>
  <c r="C8" i="17"/>
  <c r="C9" i="17"/>
  <c r="B13" i="7"/>
  <c r="B64" i="7"/>
  <c r="D64" i="7" s="1"/>
  <c r="D257" i="4" l="1"/>
  <c r="D752" i="4"/>
  <c r="D762" i="4"/>
  <c r="D83" i="4"/>
  <c r="D287" i="4"/>
  <c r="D749" i="4"/>
  <c r="B26" i="17"/>
  <c r="D26" i="17" s="1"/>
  <c r="B27" i="17"/>
  <c r="D27" i="17" s="1"/>
  <c r="B29" i="17"/>
  <c r="D29" i="17" s="1"/>
  <c r="B25" i="17"/>
  <c r="D25" i="17" s="1"/>
  <c r="B24" i="17"/>
  <c r="D24" i="17" s="1"/>
  <c r="B31" i="17"/>
  <c r="D31" i="17" s="1"/>
  <c r="D680" i="4"/>
  <c r="D701" i="4"/>
  <c r="B695" i="4"/>
  <c r="D673" i="4"/>
  <c r="B314" i="4"/>
  <c r="D535" i="4"/>
  <c r="D29" i="4"/>
  <c r="B140" i="4"/>
  <c r="B121" i="4"/>
  <c r="B493" i="4"/>
  <c r="D564" i="4"/>
  <c r="D549" i="4"/>
  <c r="B610" i="4"/>
  <c r="D610" i="4" s="1"/>
  <c r="D591" i="4"/>
  <c r="D637" i="4"/>
  <c r="B788" i="4"/>
  <c r="B322" i="4"/>
  <c r="D26" i="4"/>
  <c r="D71" i="4"/>
  <c r="D194" i="4"/>
  <c r="D215" i="4"/>
  <c r="B389" i="4"/>
  <c r="D432" i="4"/>
  <c r="D419" i="4"/>
  <c r="D490" i="4"/>
  <c r="D477" i="4"/>
  <c r="B625" i="4"/>
  <c r="D625" i="4" s="1"/>
  <c r="B604" i="4"/>
  <c r="D604" i="4" s="1"/>
  <c r="B782" i="4"/>
  <c r="D183" i="4"/>
  <c r="D298" i="4"/>
  <c r="B359" i="4"/>
  <c r="B5" i="4"/>
  <c r="D162" i="4"/>
  <c r="D401" i="4"/>
  <c r="D411" i="4"/>
  <c r="D417" i="4"/>
  <c r="D618" i="4"/>
  <c r="B661" i="4"/>
  <c r="D800" i="4"/>
  <c r="B777" i="4"/>
  <c r="D541" i="4"/>
  <c r="B518" i="4"/>
  <c r="D504" i="4"/>
  <c r="D14" i="4"/>
  <c r="D203" i="4"/>
  <c r="D384" i="4"/>
  <c r="D462" i="4"/>
  <c r="D466" i="4"/>
  <c r="D621" i="4"/>
  <c r="D640" i="4"/>
  <c r="D717" i="4"/>
  <c r="D21" i="4"/>
  <c r="D134" i="4"/>
  <c r="D96" i="12"/>
  <c r="D457" i="4"/>
  <c r="D687" i="4"/>
  <c r="B452" i="4"/>
  <c r="B574" i="4"/>
  <c r="B742" i="4"/>
  <c r="D480" i="4"/>
  <c r="D423" i="4"/>
  <c r="D578" i="4"/>
  <c r="D9" i="7"/>
  <c r="C11" i="6" s="1"/>
  <c r="E11" i="6" s="1"/>
  <c r="B44" i="7"/>
  <c r="D57" i="7"/>
  <c r="C39" i="6" s="1"/>
  <c r="C38" i="6" s="1"/>
  <c r="E38" i="6" s="1"/>
  <c r="B92" i="12"/>
  <c r="D92" i="12" s="1"/>
  <c r="C21" i="12"/>
  <c r="D119" i="12"/>
  <c r="D70" i="12"/>
  <c r="B28" i="12"/>
  <c r="D28" i="12" s="1"/>
  <c r="D9" i="12"/>
  <c r="D10" i="12"/>
  <c r="D47" i="12"/>
  <c r="D81" i="12"/>
  <c r="C73" i="12"/>
  <c r="C39" i="12" s="1"/>
  <c r="D31" i="12"/>
  <c r="C8" i="12"/>
  <c r="C85" i="12"/>
  <c r="E39" i="6"/>
  <c r="D13" i="7"/>
  <c r="B56" i="7"/>
  <c r="D56" i="7" s="1"/>
  <c r="D39" i="7"/>
  <c r="B52" i="7"/>
  <c r="D52" i="7" s="1"/>
  <c r="D44" i="7"/>
  <c r="C31" i="6" s="1"/>
  <c r="C263" i="4"/>
  <c r="D351" i="4"/>
  <c r="D589" i="4"/>
  <c r="D271" i="4"/>
  <c r="D19" i="4"/>
  <c r="D226" i="4"/>
  <c r="D242" i="4"/>
  <c r="D706" i="4"/>
  <c r="D463" i="4"/>
  <c r="D611" i="4"/>
  <c r="D731" i="4"/>
  <c r="D390" i="4"/>
  <c r="D276" i="4"/>
  <c r="B429" i="4"/>
  <c r="C409" i="4"/>
  <c r="C404" i="4" s="1"/>
  <c r="C816" i="4" s="1"/>
  <c r="D783" i="4"/>
  <c r="D75" i="4"/>
  <c r="B563" i="4"/>
  <c r="D230" i="4"/>
  <c r="D291" i="4"/>
  <c r="B209" i="4"/>
  <c r="C344" i="4"/>
  <c r="C444" i="4"/>
  <c r="B127" i="4"/>
  <c r="B241" i="4"/>
  <c r="B405" i="4"/>
  <c r="B444" i="4"/>
  <c r="C416" i="4"/>
  <c r="C414" i="4" s="1"/>
  <c r="C817" i="4" s="1"/>
  <c r="D581" i="4"/>
  <c r="B18" i="4"/>
  <c r="D318" i="4"/>
  <c r="D333" i="4"/>
  <c r="D336" i="4"/>
  <c r="D268" i="4"/>
  <c r="D399" i="4"/>
  <c r="D765" i="4"/>
  <c r="D210" i="4"/>
  <c r="C229" i="4"/>
  <c r="B588" i="4"/>
  <c r="C782" i="4"/>
  <c r="C218" i="4"/>
  <c r="C252" i="4"/>
  <c r="C43" i="4"/>
  <c r="B93" i="4"/>
  <c r="B74" i="4"/>
  <c r="D51" i="4"/>
  <c r="D175" i="4"/>
  <c r="D157" i="4"/>
  <c r="D264" i="4"/>
  <c r="B218" i="4"/>
  <c r="B375" i="4"/>
  <c r="C395" i="4"/>
  <c r="C387" i="4" s="1"/>
  <c r="B395" i="4"/>
  <c r="D556" i="4"/>
  <c r="B636" i="4"/>
  <c r="D430" i="4"/>
  <c r="C777" i="4"/>
  <c r="D796" i="4"/>
  <c r="D772" i="4"/>
  <c r="D106" i="4"/>
  <c r="D575" i="4"/>
  <c r="C695" i="4"/>
  <c r="D710" i="4"/>
  <c r="D733" i="4"/>
  <c r="B761" i="4"/>
  <c r="D676" i="4"/>
  <c r="D605" i="4"/>
  <c r="B795" i="4"/>
  <c r="D737" i="4"/>
  <c r="D39" i="4"/>
  <c r="D519" i="4"/>
  <c r="D696" i="4"/>
  <c r="D626" i="4"/>
  <c r="B25" i="4"/>
  <c r="D662" i="4"/>
  <c r="B534" i="4"/>
  <c r="D409" i="4"/>
  <c r="D50" i="4"/>
  <c r="D643" i="4"/>
  <c r="D711" i="4"/>
  <c r="D724" i="4"/>
  <c r="D768" i="4"/>
  <c r="D396" i="4"/>
  <c r="D219" i="4"/>
  <c r="D249" i="4"/>
  <c r="B365" i="4"/>
  <c r="D366" i="4"/>
  <c r="D530" i="4"/>
  <c r="B526" i="4"/>
  <c r="D12" i="4"/>
  <c r="B11" i="4"/>
  <c r="C97" i="4"/>
  <c r="D97" i="4" s="1"/>
  <c r="D99" i="4"/>
  <c r="C140" i="4"/>
  <c r="D141" i="4"/>
  <c r="D189" i="4"/>
  <c r="B188" i="4"/>
  <c r="B112" i="4"/>
  <c r="D118" i="4"/>
  <c r="D104" i="4"/>
  <c r="D279" i="4"/>
  <c r="B229" i="4"/>
  <c r="D234" i="4"/>
  <c r="D426" i="4"/>
  <c r="B416" i="4"/>
  <c r="B465" i="4"/>
  <c r="D468" i="4"/>
  <c r="B487" i="4"/>
  <c r="D488" i="4"/>
  <c r="D474" i="4"/>
  <c r="B473" i="4"/>
  <c r="D600" i="4"/>
  <c r="B595" i="4"/>
  <c r="B716" i="4"/>
  <c r="D721" i="4"/>
  <c r="D372" i="4"/>
  <c r="C369" i="4"/>
  <c r="D369" i="4" s="1"/>
  <c r="D453" i="4"/>
  <c r="C452" i="4"/>
  <c r="C651" i="4"/>
  <c r="D652" i="4"/>
  <c r="D678" i="4"/>
  <c r="C672" i="4"/>
  <c r="C275" i="4"/>
  <c r="C548" i="4"/>
  <c r="C546" i="4" s="1"/>
  <c r="C823" i="4" s="1"/>
  <c r="D559" i="4"/>
  <c r="D339" i="4"/>
  <c r="C716" i="4"/>
  <c r="D507" i="4"/>
  <c r="B81" i="4"/>
  <c r="D185" i="4"/>
  <c r="D167" i="4"/>
  <c r="D152" i="4"/>
  <c r="D567" i="4"/>
  <c r="D552" i="4"/>
  <c r="B672" i="4"/>
  <c r="B730" i="4"/>
  <c r="C511" i="4"/>
  <c r="C503" i="4" s="1"/>
  <c r="D441" i="4"/>
  <c r="D661" i="4"/>
  <c r="D315" i="4"/>
  <c r="D646" i="4"/>
  <c r="B100" i="12"/>
  <c r="D100" i="12" s="1"/>
  <c r="B57" i="12"/>
  <c r="D57" i="12" s="1"/>
  <c r="B8" i="12"/>
  <c r="B73" i="12"/>
  <c r="D45" i="4"/>
  <c r="B44" i="4"/>
  <c r="C112" i="4"/>
  <c r="D113" i="4"/>
  <c r="B275" i="4"/>
  <c r="D445" i="4"/>
  <c r="C241" i="4"/>
  <c r="B548" i="4"/>
  <c r="D360" i="4"/>
  <c r="D789" i="4"/>
  <c r="B461" i="4"/>
  <c r="D186" i="4"/>
  <c r="B103" i="4"/>
  <c r="C174" i="4"/>
  <c r="B297" i="4"/>
  <c r="B617" i="4"/>
  <c r="B344" i="4"/>
  <c r="D345" i="4"/>
  <c r="D151" i="4"/>
  <c r="C147" i="4"/>
  <c r="C146" i="4" s="1"/>
  <c r="B174" i="4"/>
  <c r="C493" i="4"/>
  <c r="D493" i="4" s="1"/>
  <c r="D494" i="4"/>
  <c r="D743" i="4"/>
  <c r="C742" i="4"/>
  <c r="D381" i="4"/>
  <c r="D683" i="4"/>
  <c r="C730" i="4"/>
  <c r="B705" i="4"/>
  <c r="D176" i="4"/>
  <c r="D310" i="4"/>
  <c r="C636" i="4"/>
  <c r="C634" i="4" s="1"/>
  <c r="C825" i="4" s="1"/>
  <c r="C35" i="4"/>
  <c r="D171" i="4"/>
  <c r="D283" i="4"/>
  <c r="B263" i="4"/>
  <c r="D253" i="4"/>
  <c r="D238" i="4"/>
  <c r="D223" i="4"/>
  <c r="B282" i="4"/>
  <c r="D736" i="4"/>
  <c r="C89" i="4"/>
  <c r="D91" i="4"/>
  <c r="C67" i="4"/>
  <c r="D67" i="4" s="1"/>
  <c r="D69" i="4"/>
  <c r="B55" i="4"/>
  <c r="B161" i="4"/>
  <c r="B252" i="4"/>
  <c r="B36" i="4"/>
  <c r="D37" i="4"/>
  <c r="B437" i="4"/>
  <c r="D6" i="4"/>
  <c r="C314" i="4"/>
  <c r="D314" i="4" s="1"/>
  <c r="D689" i="4"/>
  <c r="D138" i="4"/>
  <c r="D128" i="4"/>
  <c r="B503" i="4"/>
  <c r="D514" i="4"/>
  <c r="D440" i="4"/>
  <c r="C438" i="4"/>
  <c r="C526" i="4"/>
  <c r="D527" i="4"/>
  <c r="C5" i="4"/>
  <c r="C806" i="4" s="1"/>
  <c r="D66" i="4"/>
  <c r="C56" i="4"/>
  <c r="C595" i="4"/>
  <c r="D596" i="4"/>
  <c r="C94" i="4"/>
  <c r="D96" i="4"/>
  <c r="C74" i="4"/>
  <c r="D78" i="4"/>
  <c r="C121" i="4"/>
  <c r="D122" i="4"/>
  <c r="B147" i="4"/>
  <c r="D149" i="4"/>
  <c r="D53" i="4"/>
  <c r="D246" i="4"/>
  <c r="D260" i="4"/>
  <c r="D354" i="4"/>
  <c r="C375" i="4"/>
  <c r="D447" i="4"/>
  <c r="C574" i="4"/>
  <c r="C161" i="4"/>
  <c r="C127" i="4"/>
  <c r="D127" i="4" s="1"/>
  <c r="B332" i="4"/>
  <c r="C332" i="4"/>
  <c r="C16" i="6"/>
  <c r="E16" i="6" s="1"/>
  <c r="C36" i="6"/>
  <c r="C30" i="7"/>
  <c r="B6" i="7"/>
  <c r="D31" i="7"/>
  <c r="C5" i="7"/>
  <c r="C24" i="7"/>
  <c r="D24" i="7" s="1"/>
  <c r="D27" i="7"/>
  <c r="D33" i="7"/>
  <c r="B30" i="7"/>
  <c r="C45" i="6"/>
  <c r="B37" i="7"/>
  <c r="B16" i="7"/>
  <c r="C303" i="4"/>
  <c r="D304" i="4"/>
  <c r="B197" i="4"/>
  <c r="D198" i="4"/>
  <c r="D376" i="4"/>
  <c r="D155" i="4"/>
  <c r="D585" i="4"/>
  <c r="C103" i="4"/>
  <c r="B303" i="4"/>
  <c r="D323" i="4"/>
  <c r="D657" i="4"/>
  <c r="C761" i="4"/>
  <c r="B651" i="4"/>
  <c r="D137" i="4"/>
  <c r="D82" i="4"/>
  <c r="D329" i="4"/>
  <c r="C322" i="4"/>
  <c r="C473" i="4"/>
  <c r="D483" i="4"/>
  <c r="B414" i="4" l="1"/>
  <c r="B806" i="4"/>
  <c r="D121" i="4"/>
  <c r="D782" i="4"/>
  <c r="B28" i="17"/>
  <c r="D28" i="17" s="1"/>
  <c r="D742" i="4"/>
  <c r="D389" i="4"/>
  <c r="D359" i="4"/>
  <c r="D140" i="4"/>
  <c r="D518" i="4"/>
  <c r="D444" i="4"/>
  <c r="D788" i="4"/>
  <c r="D695" i="4"/>
  <c r="D777" i="4"/>
  <c r="D282" i="4"/>
  <c r="D617" i="4"/>
  <c r="D461" i="4"/>
  <c r="D188" i="4"/>
  <c r="D365" i="4"/>
  <c r="B387" i="4"/>
  <c r="D209" i="4"/>
  <c r="D429" i="4"/>
  <c r="D705" i="4"/>
  <c r="D297" i="4"/>
  <c r="B728" i="4"/>
  <c r="D487" i="4"/>
  <c r="D197" i="4"/>
  <c r="D263" i="4"/>
  <c r="D44" i="4"/>
  <c r="D795" i="4"/>
  <c r="D588" i="4"/>
  <c r="B404" i="4"/>
  <c r="D465" i="4"/>
  <c r="D819" i="4" s="1"/>
  <c r="D534" i="4"/>
  <c r="D563" i="4"/>
  <c r="D672" i="4"/>
  <c r="D452" i="4"/>
  <c r="B808" i="4"/>
  <c r="D18" i="4"/>
  <c r="D25" i="4"/>
  <c r="D809" i="4" s="1"/>
  <c r="D730" i="4"/>
  <c r="B546" i="4"/>
  <c r="D344" i="4"/>
  <c r="D30" i="7"/>
  <c r="C14" i="6"/>
  <c r="B26" i="12"/>
  <c r="B21" i="12" s="1"/>
  <c r="D21" i="12" s="1"/>
  <c r="C38" i="12"/>
  <c r="C6" i="12" s="1"/>
  <c r="B85" i="12"/>
  <c r="D85" i="12" s="1"/>
  <c r="D73" i="12"/>
  <c r="C30" i="6"/>
  <c r="D416" i="4"/>
  <c r="C572" i="4"/>
  <c r="C824" i="4" s="1"/>
  <c r="B815" i="4"/>
  <c r="D526" i="4"/>
  <c r="D161" i="4"/>
  <c r="B435" i="4"/>
  <c r="B809" i="4"/>
  <c r="D74" i="4"/>
  <c r="D395" i="4"/>
  <c r="C670" i="4"/>
  <c r="C826" i="4" s="1"/>
  <c r="D229" i="4"/>
  <c r="D405" i="4"/>
  <c r="D241" i="4"/>
  <c r="D218" i="4"/>
  <c r="B814" i="4"/>
  <c r="D595" i="4"/>
  <c r="D511" i="4"/>
  <c r="D112" i="4"/>
  <c r="D252" i="4"/>
  <c r="D716" i="4"/>
  <c r="D332" i="4"/>
  <c r="D548" i="4"/>
  <c r="D574" i="4"/>
  <c r="D147" i="4"/>
  <c r="D275" i="4"/>
  <c r="B759" i="4"/>
  <c r="B471" i="4"/>
  <c r="C207" i="4"/>
  <c r="C812" i="4" s="1"/>
  <c r="D636" i="4"/>
  <c r="B819" i="4"/>
  <c r="D11" i="4"/>
  <c r="B10" i="4"/>
  <c r="D387" i="4"/>
  <c r="D815" i="4" s="1"/>
  <c r="B207" i="4"/>
  <c r="D174" i="4"/>
  <c r="D8" i="12"/>
  <c r="D26" i="12"/>
  <c r="B43" i="4"/>
  <c r="C815" i="4"/>
  <c r="B670" i="4"/>
  <c r="C728" i="4"/>
  <c r="C827" i="4" s="1"/>
  <c r="B817" i="4"/>
  <c r="B572" i="4"/>
  <c r="D414" i="4"/>
  <c r="D817" i="4" s="1"/>
  <c r="D36" i="4"/>
  <c r="B35" i="4"/>
  <c r="D89" i="4"/>
  <c r="C81" i="4"/>
  <c r="D81" i="4" s="1"/>
  <c r="B146" i="4"/>
  <c r="C501" i="4"/>
  <c r="C822" i="4" s="1"/>
  <c r="D94" i="4"/>
  <c r="C93" i="4"/>
  <c r="D93" i="4" s="1"/>
  <c r="D438" i="4"/>
  <c r="C437" i="4"/>
  <c r="C55" i="4"/>
  <c r="D56" i="4"/>
  <c r="B501" i="4"/>
  <c r="D503" i="4"/>
  <c r="C814" i="4"/>
  <c r="D375" i="4"/>
  <c r="D5" i="4"/>
  <c r="C72" i="7"/>
  <c r="B5" i="7"/>
  <c r="D5" i="7" s="1"/>
  <c r="D6" i="7"/>
  <c r="C35" i="6"/>
  <c r="E35" i="6" s="1"/>
  <c r="E36" i="6"/>
  <c r="C19" i="6"/>
  <c r="E45" i="6"/>
  <c r="C43" i="6"/>
  <c r="D37" i="7"/>
  <c r="E32" i="6"/>
  <c r="D16" i="7"/>
  <c r="B12" i="7"/>
  <c r="B634" i="4"/>
  <c r="D651" i="4"/>
  <c r="B295" i="4"/>
  <c r="D303" i="4"/>
  <c r="C101" i="4"/>
  <c r="D103" i="4"/>
  <c r="D761" i="4"/>
  <c r="C759" i="4"/>
  <c r="C471" i="4"/>
  <c r="D473" i="4"/>
  <c r="C295" i="4"/>
  <c r="D322" i="4"/>
  <c r="E19" i="6" l="1"/>
  <c r="E14" i="6"/>
  <c r="E30" i="6"/>
  <c r="D404" i="4"/>
  <c r="D816" i="4" s="1"/>
  <c r="D546" i="4"/>
  <c r="D823" i="4" s="1"/>
  <c r="B827" i="4"/>
  <c r="B816" i="4"/>
  <c r="B823" i="4"/>
  <c r="B812" i="4"/>
  <c r="D43" i="4"/>
  <c r="D35" i="4"/>
  <c r="B813" i="4"/>
  <c r="B818" i="4"/>
  <c r="D808" i="4"/>
  <c r="C24" i="6"/>
  <c r="C29" i="6"/>
  <c r="C54" i="6"/>
  <c r="B821" i="4"/>
  <c r="D207" i="4"/>
  <c r="D812" i="4" s="1"/>
  <c r="B828" i="4"/>
  <c r="D10" i="4"/>
  <c r="B807" i="4"/>
  <c r="B33" i="4"/>
  <c r="D501" i="4"/>
  <c r="D822" i="4" s="1"/>
  <c r="C53" i="6"/>
  <c r="B38" i="12"/>
  <c r="B6" i="12" s="1"/>
  <c r="D39" i="12"/>
  <c r="C55" i="6"/>
  <c r="B824" i="4"/>
  <c r="D572" i="4"/>
  <c r="D824" i="4" s="1"/>
  <c r="B826" i="4"/>
  <c r="D670" i="4"/>
  <c r="D826" i="4" s="1"/>
  <c r="D728" i="4"/>
  <c r="D827" i="4" s="1"/>
  <c r="D146" i="4"/>
  <c r="B101" i="4"/>
  <c r="B822" i="4"/>
  <c r="D55" i="4"/>
  <c r="C33" i="4"/>
  <c r="D806" i="4"/>
  <c r="D814" i="4"/>
  <c r="C435" i="4"/>
  <c r="D437" i="4"/>
  <c r="C10" i="6"/>
  <c r="C15" i="6"/>
  <c r="D12" i="7"/>
  <c r="B72" i="7"/>
  <c r="D72" i="7" s="1"/>
  <c r="C828" i="4"/>
  <c r="D759" i="4"/>
  <c r="D828" i="4" s="1"/>
  <c r="C811" i="4"/>
  <c r="D634" i="4"/>
  <c r="D825" i="4" s="1"/>
  <c r="B825" i="4"/>
  <c r="C813" i="4"/>
  <c r="D295" i="4"/>
  <c r="C821" i="4"/>
  <c r="D471" i="4"/>
  <c r="E55" i="6" l="1"/>
  <c r="C21" i="6"/>
  <c r="E25" i="6"/>
  <c r="B810" i="4"/>
  <c r="D33" i="4"/>
  <c r="B803" i="4"/>
  <c r="D807" i="4"/>
  <c r="D38" i="12"/>
  <c r="D6" i="12" s="1"/>
  <c r="E53" i="6"/>
  <c r="C52" i="6"/>
  <c r="D54" i="6"/>
  <c r="C14" i="15"/>
  <c r="C6" i="15"/>
  <c r="D101" i="4"/>
  <c r="B811" i="4"/>
  <c r="B829" i="4" s="1"/>
  <c r="C10" i="15"/>
  <c r="C19" i="15"/>
  <c r="C4" i="15"/>
  <c r="C803" i="4"/>
  <c r="C810" i="4"/>
  <c r="C818" i="4"/>
  <c r="D435" i="4"/>
  <c r="E10" i="6"/>
  <c r="C9" i="6"/>
  <c r="E15" i="6"/>
  <c r="C13" i="6"/>
  <c r="D821" i="4"/>
  <c r="C11" i="15"/>
  <c r="C7" i="15"/>
  <c r="C8" i="15"/>
  <c r="C9" i="15"/>
  <c r="C15" i="15"/>
  <c r="D810" i="4"/>
  <c r="C16" i="15"/>
  <c r="C12" i="15"/>
  <c r="D813" i="4"/>
  <c r="E9" i="6" l="1"/>
  <c r="C5" i="15"/>
  <c r="C17" i="15"/>
  <c r="C18" i="15"/>
  <c r="C13" i="15"/>
  <c r="D16" i="15"/>
  <c r="D14" i="15"/>
  <c r="D52" i="6"/>
  <c r="E52" i="6" s="1"/>
  <c r="E54" i="6"/>
  <c r="C829" i="4"/>
  <c r="D6" i="15"/>
  <c r="D11" i="15"/>
  <c r="D811" i="4"/>
  <c r="D15" i="15"/>
  <c r="D9" i="15"/>
  <c r="D818" i="4"/>
  <c r="D803" i="4"/>
  <c r="G4" i="15" s="1"/>
  <c r="D12" i="15"/>
  <c r="D8" i="15"/>
  <c r="G17" i="15"/>
  <c r="F14" i="15"/>
  <c r="F18" i="15"/>
  <c r="G5" i="15"/>
  <c r="G13" i="15"/>
  <c r="G8" i="15"/>
  <c r="F15" i="15"/>
  <c r="G18" i="15"/>
  <c r="D17" i="15"/>
  <c r="D5" i="15"/>
  <c r="D13" i="15"/>
  <c r="D10" i="15"/>
  <c r="D7" i="15"/>
  <c r="D18" i="15"/>
  <c r="D19" i="15"/>
  <c r="D4" i="15"/>
  <c r="F16" i="15"/>
  <c r="G7" i="15"/>
  <c r="G6" i="15"/>
  <c r="F8" i="15"/>
  <c r="G11" i="15"/>
  <c r="G9" i="15"/>
  <c r="G19" i="15"/>
  <c r="G12" i="15"/>
  <c r="F6" i="15"/>
  <c r="F5" i="15"/>
  <c r="F17" i="15"/>
  <c r="G14" i="15"/>
  <c r="F4" i="15"/>
  <c r="G16" i="15"/>
  <c r="G10" i="15"/>
  <c r="F10" i="15"/>
  <c r="F13" i="15"/>
  <c r="F9" i="15"/>
  <c r="E13" i="6"/>
  <c r="C7" i="6"/>
  <c r="E9" i="15"/>
  <c r="E16" i="15"/>
  <c r="D24" i="6" s="1"/>
  <c r="E19" i="15"/>
  <c r="D46" i="6" s="1"/>
  <c r="E13" i="15"/>
  <c r="E15" i="15"/>
  <c r="D27" i="6" s="1"/>
  <c r="E27" i="6" s="1"/>
  <c r="E10" i="15"/>
  <c r="E7" i="15"/>
  <c r="E12" i="15"/>
  <c r="E5" i="15"/>
  <c r="E6" i="15"/>
  <c r="E4" i="15"/>
  <c r="E17" i="15"/>
  <c r="D23" i="6" s="1"/>
  <c r="E23" i="6" s="1"/>
  <c r="E8" i="15"/>
  <c r="E18" i="15"/>
  <c r="C3" i="15" l="1"/>
  <c r="C20" i="15" s="1"/>
  <c r="C21" i="15" s="1"/>
  <c r="D829" i="4"/>
  <c r="D3" i="15"/>
  <c r="D20" i="15" s="1"/>
  <c r="D21" i="15" s="1"/>
  <c r="F12" i="15"/>
  <c r="G3" i="15"/>
  <c r="G15" i="15"/>
  <c r="F11" i="15"/>
  <c r="F19" i="15"/>
  <c r="F7" i="15"/>
  <c r="E14" i="15"/>
  <c r="D31" i="6" s="1"/>
  <c r="E11" i="15"/>
  <c r="E3" i="15" s="1"/>
  <c r="C50" i="6"/>
  <c r="E7" i="6"/>
  <c r="E24" i="6"/>
  <c r="E26" i="6"/>
  <c r="D43" i="6"/>
  <c r="E43" i="6" s="1"/>
  <c r="E46" i="6"/>
  <c r="C57" i="6" l="1"/>
  <c r="F3" i="15"/>
  <c r="F20" i="15" s="1"/>
  <c r="F21" i="15" s="1"/>
  <c r="G20" i="15"/>
  <c r="G21" i="15" s="1"/>
  <c r="E33" i="6"/>
  <c r="E31" i="6"/>
  <c r="D29" i="6"/>
  <c r="E29" i="6" s="1"/>
  <c r="E20" i="15"/>
  <c r="E21" i="15" s="1"/>
  <c r="D22" i="6"/>
  <c r="B8" i="17" l="1"/>
  <c r="D8" i="17" s="1"/>
  <c r="B13" i="17"/>
  <c r="D13" i="17" s="1"/>
  <c r="B14" i="17"/>
  <c r="D14" i="17" s="1"/>
  <c r="B18" i="17"/>
  <c r="D18" i="17" s="1"/>
  <c r="B19" i="17"/>
  <c r="D19" i="17" s="1"/>
  <c r="B3" i="17"/>
  <c r="D3" i="17" s="1"/>
  <c r="B5" i="17"/>
  <c r="D5" i="17" s="1"/>
  <c r="B12" i="17"/>
  <c r="D12" i="17" s="1"/>
  <c r="B11" i="17"/>
  <c r="D11" i="17" s="1"/>
  <c r="B17" i="17"/>
  <c r="D17" i="17" s="1"/>
  <c r="B21" i="17"/>
  <c r="D21" i="17" s="1"/>
  <c r="B15" i="17"/>
  <c r="D15" i="17" s="1"/>
  <c r="B22" i="17"/>
  <c r="D22" i="17" s="1"/>
  <c r="B9" i="17"/>
  <c r="D9" i="17" s="1"/>
  <c r="B10" i="17"/>
  <c r="D10" i="17" s="1"/>
  <c r="B6" i="17"/>
  <c r="D6" i="17" s="1"/>
  <c r="B16" i="17"/>
  <c r="D16" i="17" s="1"/>
  <c r="B20" i="17"/>
  <c r="D20" i="17" s="1"/>
  <c r="B4" i="17"/>
  <c r="D4" i="17" s="1"/>
  <c r="B7" i="17"/>
  <c r="D7" i="17" s="1"/>
  <c r="D21" i="6"/>
  <c r="E22" i="6"/>
  <c r="B23" i="17" l="1"/>
  <c r="D23" i="17" s="1"/>
  <c r="E21" i="6"/>
  <c r="D50" i="6"/>
  <c r="D57" i="6" s="1"/>
  <c r="B30" i="17" l="1"/>
  <c r="D30" i="17" s="1"/>
  <c r="E50" i="6"/>
  <c r="C79" i="5"/>
  <c r="B32" i="17" l="1"/>
  <c r="D32" i="17" s="1"/>
  <c r="E57" i="6"/>
  <c r="B79" i="5" l="1"/>
</calcChain>
</file>

<file path=xl/comments1.xml><?xml version="1.0" encoding="utf-8"?>
<comments xmlns="http://schemas.openxmlformats.org/spreadsheetml/2006/main">
  <authors>
    <author>Maarja Valler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21.08 +40000 vt 7 k täitmist</t>
        </r>
      </text>
    </comment>
  </commentList>
</comments>
</file>

<file path=xl/sharedStrings.xml><?xml version="1.0" encoding="utf-8"?>
<sst xmlns="http://schemas.openxmlformats.org/spreadsheetml/2006/main" count="3493" uniqueCount="1255">
  <si>
    <t>toetused riigilt ja muudelt institutsioonidelt</t>
  </si>
  <si>
    <t>TOETUSED</t>
  </si>
  <si>
    <t>investeeringuteks</t>
  </si>
  <si>
    <t>Välisrahastus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</si>
  <si>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</si>
  <si>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</si>
  <si>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</si>
  <si>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</si>
  <si>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</si>
  <si>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</si>
  <si>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</si>
  <si>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</si>
  <si>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</si>
  <si>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</si>
  <si>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</si>
  <si>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</si>
  <si>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</si>
  <si>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</si>
  <si>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</si>
  <si>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</si>
  <si>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</si>
  <si>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</si>
  <si>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</si>
  <si>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</si>
  <si>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</si>
  <si>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</si>
  <si>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</si>
  <si>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Sunniraha</t>
  </si>
  <si>
    <t>Muud erakorralised tulud</t>
  </si>
  <si>
    <t>Müüdud vara jääkmaksumus</t>
  </si>
  <si>
    <t>RAHAKÄIBE PROGNOOS</t>
  </si>
  <si>
    <t xml:space="preserve">Laekumised haldustegevusest </t>
  </si>
  <si>
    <t xml:space="preserve"> Tulude laekumine</t>
  </si>
  <si>
    <t xml:space="preserve"> Toetused</t>
  </si>
  <si>
    <t>Väljamaksed haldustegevuseks</t>
  </si>
  <si>
    <t xml:space="preserve">Haldustegevus kokku </t>
  </si>
  <si>
    <t xml:space="preserve">Laekumised investeerimistegevusest </t>
  </si>
  <si>
    <t>Väljamaksed investeerimistegevuseks</t>
  </si>
  <si>
    <t xml:space="preserve">Investeerimistegevus kokku </t>
  </si>
  <si>
    <t>Laekumised finantseerimistegevusest</t>
  </si>
  <si>
    <t>Väljamaksed finantseerimistegevuseks</t>
  </si>
  <si>
    <t xml:space="preserve">Finantseerimistegevus kokku </t>
  </si>
  <si>
    <t>Laekumised kokku</t>
  </si>
  <si>
    <t>Väljamaksed kokku</t>
  </si>
  <si>
    <t>FINANTSEERIMISTEGEVUSE EELARVE</t>
  </si>
  <si>
    <t>Laenukohustuse suurenemine</t>
  </si>
  <si>
    <t>Laenukohustuse vähenemine</t>
  </si>
  <si>
    <t>Linnavolikogu Kantselei</t>
  </si>
  <si>
    <t>KOKKU OMATULUD</t>
  </si>
  <si>
    <t>Tulud majandustegevusest</t>
  </si>
  <si>
    <t>Võlalt arvestatud intressitulu</t>
  </si>
  <si>
    <t>KOKKU</t>
  </si>
  <si>
    <t>€</t>
  </si>
  <si>
    <t>KOONDEELARVE</t>
  </si>
  <si>
    <t>TULEMI PROGNOOS</t>
  </si>
  <si>
    <t>TULUD  KOKKU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</si>
  <si>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</si>
  <si>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</si>
  <si>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</si>
  <si>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</si>
  <si>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</si>
  <si>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</si>
  <si>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</si>
  <si>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</si>
  <si>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</si>
  <si>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</si>
  <si>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</si>
  <si>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</si>
  <si>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</si>
  <si>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</si>
  <si>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</si>
  <si>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</si>
  <si>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</si>
  <si>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</si>
  <si>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</si>
  <si>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</si>
  <si>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</si>
  <si>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</si>
  <si>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</si>
  <si>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</si>
  <si>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</si>
  <si>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</si>
  <si>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</si>
  <si>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LAENUKOHUSTUSTES KOKKU</t>
  </si>
  <si>
    <t>Laenude võtmine</t>
  </si>
  <si>
    <t>Laenude tagasimaksed</t>
  </si>
  <si>
    <t xml:space="preserve">Kapitaliliisingu maksed </t>
  </si>
  <si>
    <t>MUUTUS NETOVARAS</t>
  </si>
  <si>
    <t>SISSETULEKUD</t>
  </si>
  <si>
    <t>VÄLJAMINEKUD</t>
  </si>
  <si>
    <t>TULUDE EELARVE</t>
  </si>
  <si>
    <t>Tululiik</t>
  </si>
  <si>
    <t>Linnakassa</t>
  </si>
  <si>
    <t>Omatulud</t>
  </si>
  <si>
    <t>Eelarve kokku</t>
  </si>
  <si>
    <t>Maksutulud kokku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</si>
  <si>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</si>
  <si>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</si>
  <si>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</si>
  <si>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</si>
  <si>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</si>
  <si>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</si>
  <si>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</si>
  <si>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Tulud kokku (v.a toetused)</t>
  </si>
  <si>
    <t>Toetused</t>
  </si>
  <si>
    <t>sh riigilt jm institutsioonidelt</t>
  </si>
  <si>
    <t>välisrahastus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</si>
  <si>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</si>
  <si>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</si>
  <si>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</si>
  <si>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</si>
  <si>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</si>
  <si>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</si>
  <si>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</si>
  <si>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</si>
  <si>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</si>
  <si>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</si>
  <si>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</si>
  <si>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</si>
  <si>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</si>
  <si>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</si>
  <si>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</si>
  <si>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</si>
  <si>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Reservid</t>
  </si>
  <si>
    <t>OMATULUD</t>
  </si>
  <si>
    <t>1. Linnavolikogu Kantselei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</si>
  <si>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</si>
  <si>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</si>
  <si>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</si>
  <si>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</si>
  <si>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</si>
  <si>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</si>
  <si>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</si>
  <si>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</si>
  <si>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</si>
  <si>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</si>
  <si>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</si>
  <si>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</si>
  <si>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</si>
  <si>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</si>
  <si>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Maksed teenuste kontsessioonilepingu raames</t>
  </si>
  <si>
    <t>Teede ja tänavate sulgemise maks</t>
  </si>
  <si>
    <t>Loodusvarade kasutusõiguse tasu</t>
  </si>
  <si>
    <t>EELARVE KOHALIKU OMAVALITSUSE ÜKSUSE FINANTSJUHTIMISE SEADUSE JÄRGI</t>
  </si>
  <si>
    <t>Toetus välisprojektide kaasfinantseerimiseks</t>
  </si>
  <si>
    <t>välisprojektide kaasfinantseerimine</t>
  </si>
  <si>
    <t>Kasum/kahjum varude müügist</t>
  </si>
  <si>
    <t>Teenuste kontsessioonilepingu raames renoveeritud koolid</t>
  </si>
  <si>
    <t>sh teede ja tänavate korrashoid</t>
  </si>
  <si>
    <t>Kultuuriameti haldusala</t>
  </si>
  <si>
    <t>OT</t>
  </si>
  <si>
    <t xml:space="preserve">  Maksud</t>
  </si>
  <si>
    <t xml:space="preserve">   sh tulumaks</t>
  </si>
  <si>
    <t xml:space="preserve">        maamaks</t>
  </si>
  <si>
    <t xml:space="preserve">        kohalikud maksud</t>
  </si>
  <si>
    <t xml:space="preserve"> Tegevustulu</t>
  </si>
  <si>
    <t xml:space="preserve"> Muud tulud</t>
  </si>
  <si>
    <t xml:space="preserve">  sh riigilt</t>
  </si>
  <si>
    <t xml:space="preserve">       välisrahastus</t>
  </si>
  <si>
    <t xml:space="preserve">   sh tegevuskulu</t>
  </si>
  <si>
    <t xml:space="preserve">       finantskulud</t>
  </si>
  <si>
    <t xml:space="preserve">   sh põhivara müük</t>
  </si>
  <si>
    <t xml:space="preserve">       saadud dividendid</t>
  </si>
  <si>
    <t xml:space="preserve">       finantstulu</t>
  </si>
  <si>
    <t xml:space="preserve">   sh põhivara soetamine</t>
  </si>
  <si>
    <t xml:space="preserve">  sh eelarvelaenu võtmine/võlakirjade emiteerimine</t>
  </si>
  <si>
    <t xml:space="preserve">      kapitalirendi põhiosa maksed</t>
  </si>
  <si>
    <t>MUUTUSED VARADES</t>
  </si>
  <si>
    <t>MUUTUSED KOHUSTUSTES</t>
  </si>
  <si>
    <t>äriruumide üüritulu</t>
  </si>
  <si>
    <t>kommunaalteenused</t>
  </si>
  <si>
    <t xml:space="preserve">2. Linnakantselei </t>
  </si>
  <si>
    <t>muud eespoolnimetamata tulud majandustegevusest</t>
  </si>
  <si>
    <t>3. Linnaarhiiv</t>
  </si>
  <si>
    <t>teenused</t>
  </si>
  <si>
    <t>4. Perekonnaseisuamet</t>
  </si>
  <si>
    <t>5. Haridusameti haldusala</t>
  </si>
  <si>
    <t>huviringi osalustasu</t>
  </si>
  <si>
    <t>tehniliste vahendite ja inventari laenutamine</t>
  </si>
  <si>
    <t>piletitulu</t>
  </si>
  <si>
    <t>noortekeskuse muud tasulised teenused</t>
  </si>
  <si>
    <t>noortelaagri teenused</t>
  </si>
  <si>
    <t>6. Kultuuriameti haldusala</t>
  </si>
  <si>
    <t>ringitasu</t>
  </si>
  <si>
    <t>müügitulu</t>
  </si>
  <si>
    <t>kultuuriasutuse ruumide kasutamine üritusteks</t>
  </si>
  <si>
    <t>tulu parkimisest</t>
  </si>
  <si>
    <t>reklaamitulu</t>
  </si>
  <si>
    <t>7. Spordi- ja Noorsooameti haldusala</t>
  </si>
  <si>
    <t>spordiasutuse tasulised teenused</t>
  </si>
  <si>
    <t>eluruumide üüritulu</t>
  </si>
  <si>
    <t>8. Sotsiaal- ja Tervishoiuameti haldusala</t>
  </si>
  <si>
    <t>8.1. Sotsiaal- ja Tervishoiuamet</t>
  </si>
  <si>
    <t>muu tulu majandustegevusest</t>
  </si>
  <si>
    <t>hooldustasu</t>
  </si>
  <si>
    <t>toitlustustasu</t>
  </si>
  <si>
    <t>õppekulude tasu</t>
  </si>
  <si>
    <t>8.3. Tallinna Lastekodu</t>
  </si>
  <si>
    <t>8.4. Tallinna Vaimse Tervise Keskus</t>
  </si>
  <si>
    <t>majutusteenus</t>
  </si>
  <si>
    <t>8.5. Iru Hooldekodu</t>
  </si>
  <si>
    <t>8.6. Tallinna Tugikeskus Juks</t>
  </si>
  <si>
    <t>8.7. Tallinna Sotsiaaltöö Keskus</t>
  </si>
  <si>
    <t>pesupesemisteenus</t>
  </si>
  <si>
    <t>8.8. Tallinna Kiirabi</t>
  </si>
  <si>
    <t>9. Linnavaraamet</t>
  </si>
  <si>
    <t>10. Ettevõtlusameti haldusala</t>
  </si>
  <si>
    <t>10.1. Ettevõtlusamet</t>
  </si>
  <si>
    <t>linnarajatiste reklaamitulu</t>
  </si>
  <si>
    <t>10.2. Tallinna Turud</t>
  </si>
  <si>
    <t>tulu müügipiletite realiseerimisest</t>
  </si>
  <si>
    <t>kauba müük (km 20%, linnapoe kauba müük)</t>
  </si>
  <si>
    <t>11. Transpordiamet</t>
  </si>
  <si>
    <t>12. Kommunaalameti haldusala</t>
  </si>
  <si>
    <t>13. Keskkonnaameti haldusala</t>
  </si>
  <si>
    <t>15. Haabersti Linnaosa Valitsuse haldusala</t>
  </si>
  <si>
    <t>tulu kaubandustegevusest</t>
  </si>
  <si>
    <t>kliendi osalustasu koduteenuste osutamisel</t>
  </si>
  <si>
    <t>16. Tallinna Kesklinna Valitsuse haldusala</t>
  </si>
  <si>
    <t>muud tulud</t>
  </si>
  <si>
    <t>17. Kristiine Linnaosa Valitsuse haldusala</t>
  </si>
  <si>
    <t>18. Lasnamäe Linnaosa Valitsuse haldusala</t>
  </si>
  <si>
    <t>18.1. Lasnamäe Linnaosa Valitsus</t>
  </si>
  <si>
    <t>18.2. Lasnamäe Spordikompleks</t>
  </si>
  <si>
    <t>18.3. Kultuurikeskus Lindakivi</t>
  </si>
  <si>
    <t>18.4. Lasnamäe Sotsiaalkeskus</t>
  </si>
  <si>
    <t>18.5. Lasnamäe Noortekeskus</t>
  </si>
  <si>
    <t>18.6. Lasnamäe Saun</t>
  </si>
  <si>
    <t>18.7. Lasnamäe Lastekeskus</t>
  </si>
  <si>
    <t>huviringide osalustasu</t>
  </si>
  <si>
    <t>19. Mustamäe Linnaosa Valitsuse haldusala</t>
  </si>
  <si>
    <t>20. Nõmme Linnaosa Valitsuse haldusala</t>
  </si>
  <si>
    <t>21. Pirita Linnaosa Valitsuse haldusala</t>
  </si>
  <si>
    <t>muud päevakeskuse teenused</t>
  </si>
  <si>
    <t>22. Põhja-Tallinna Valitsuse haldusala</t>
  </si>
  <si>
    <t>22.1. Põhja-Tallinna Valitsus</t>
  </si>
  <si>
    <t>22.2. Põhja-Tallinna Sotsiaalkeskus</t>
  </si>
  <si>
    <t>22.3. Paljassaare Sotsiaalmaja</t>
  </si>
  <si>
    <t>22.4. Salme Kultuurikeskus</t>
  </si>
  <si>
    <t>22.5. Põhja-Tallinna Noortekeskus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</si>
  <si>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</si>
  <si>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</si>
  <si>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</si>
  <si>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</si>
  <si>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</si>
  <si>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</si>
  <si>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Spordi- ja Noorsooameti haldusala</t>
  </si>
  <si>
    <t>Tootevaldkond: sport ja vaba aeg</t>
  </si>
  <si>
    <t>Tootegrupp: sportimisvõimaluste tagamine</t>
  </si>
  <si>
    <t>Tootevaldkond: noorsootöö</t>
  </si>
  <si>
    <t>Tootegrupp: noorsootöö</t>
  </si>
  <si>
    <t>Sotsiaal- ja Tervishoiuameti haldusala</t>
  </si>
  <si>
    <t>Tootevaldkond: sotsiaalhoolekanne</t>
  </si>
  <si>
    <t>Tootegrupp: puuetega isikute hoolekanne</t>
  </si>
  <si>
    <t>Sotsiaaltransporditeenus (a)</t>
  </si>
  <si>
    <t>Viipekeeleteenus</t>
  </si>
  <si>
    <t>Isikliku abistaja teenused</t>
  </si>
  <si>
    <r>
      <t xml:space="preserve">Raske ja sügava puudega laste tugiisikuteenus </t>
    </r>
    <r>
      <rPr>
        <sz val="8"/>
        <rFont val="Arial"/>
        <family val="2"/>
        <charset val="186"/>
      </rPr>
      <t>(Tallinna Perekeskus)</t>
    </r>
  </si>
  <si>
    <t>Töö- ja rakenduskeskuse teenused</t>
  </si>
  <si>
    <t>Nõustamisteenused</t>
  </si>
  <si>
    <t>Puudega inimese perekonda toetavad teenused</t>
  </si>
  <si>
    <t>Tootegrupp: eakate hoolekanne</t>
  </si>
  <si>
    <t>Eaka inimese perekonda toetavad teenused</t>
  </si>
  <si>
    <t>Sotsiaalvalve teenus</t>
  </si>
  <si>
    <t>Eakate päevakeskuste haldamine</t>
  </si>
  <si>
    <t>Omastehooldaja asendusteenus</t>
  </si>
  <si>
    <t>Tootegrupp: laste hoolekanne</t>
  </si>
  <si>
    <r>
      <t>Perekeskuse teenused</t>
    </r>
    <r>
      <rPr>
        <sz val="8"/>
        <rFont val="Arial"/>
        <family val="2"/>
        <charset val="186"/>
      </rPr>
      <t xml:space="preserve"> (Tallinna Perekeskus)</t>
    </r>
  </si>
  <si>
    <t>Perekonda toetavad teenused</t>
  </si>
  <si>
    <t>laste toitlustamine päevakeskustes</t>
  </si>
  <si>
    <r>
      <t xml:space="preserve">Laste ja emad lastega turvakoduteenused </t>
    </r>
    <r>
      <rPr>
        <sz val="8"/>
        <rFont val="Arial"/>
        <family val="2"/>
        <charset val="186"/>
      </rPr>
      <t>(Sotsiaal- ja Tervishoiuamet, Tallinna Lastekodu, Tallinna Laste Turvakeskus)</t>
    </r>
  </si>
  <si>
    <r>
      <t>Käitumishäiretega laste rehabilitatsiooniteenus</t>
    </r>
    <r>
      <rPr>
        <sz val="8"/>
        <rFont val="Arial"/>
        <family val="2"/>
        <charset val="186"/>
      </rPr>
      <t xml:space="preserve"> (Tallinna Laste Turvakeskus)</t>
    </r>
  </si>
  <si>
    <t>Tootegrupp: muude kriisirühmade hoolekanne</t>
  </si>
  <si>
    <t>Sotsiaalselt tundlike sihtgruppide rehabilitatsiooniteenused</t>
  </si>
  <si>
    <t>Kodutute öömaja- ja varjupaigateenused</t>
  </si>
  <si>
    <t>Supiköögiteenused</t>
  </si>
  <si>
    <t>Õigusalane nõustamine</t>
  </si>
  <si>
    <t>Toimetulekut soodustavad teenused</t>
  </si>
  <si>
    <t>sh Tšernobõli sotsiaalprogramm</t>
  </si>
  <si>
    <t>toiduabi</t>
  </si>
  <si>
    <t>Vältimatu sotsiaalabi</t>
  </si>
  <si>
    <t>Kriisiabi</t>
  </si>
  <si>
    <r>
      <t>Sotsiaalmajutusüksused</t>
    </r>
    <r>
      <rPr>
        <sz val="8"/>
        <rFont val="Arial"/>
        <family val="2"/>
        <charset val="186"/>
      </rPr>
      <t xml:space="preserve"> (Tallinna Sotsiaaltöö Keskus)</t>
    </r>
  </si>
  <si>
    <t>Sotsiaalhoolekanne</t>
  </si>
  <si>
    <t>Puuetega inimeste hooldajatoetus (a)</t>
  </si>
  <si>
    <r>
      <t>Muud hoolekandeteenused</t>
    </r>
    <r>
      <rPr>
        <sz val="8"/>
        <rFont val="Arial"/>
        <family val="2"/>
        <charset val="186"/>
      </rPr>
      <t xml:space="preserve"> (Tallinna Sotsiaaltöö Keskus)</t>
    </r>
  </si>
  <si>
    <r>
      <t xml:space="preserve">Muud sotsiaaltoetused, </t>
    </r>
    <r>
      <rPr>
        <i/>
        <u/>
        <sz val="10"/>
        <rFont val="Arial"/>
        <family val="2"/>
        <charset val="186"/>
      </rPr>
      <t>sh</t>
    </r>
  </si>
  <si>
    <t>Toetused lastele ja peredele (a)</t>
  </si>
  <si>
    <t>toetused toimetulekuraskustes peredele</t>
  </si>
  <si>
    <t>esmakordselt kooli mineva lapse toetus</t>
  </si>
  <si>
    <t>sünnitoetus</t>
  </si>
  <si>
    <t>lapsehoiuteenuse hüvitis</t>
  </si>
  <si>
    <t>ellusuunamise toetus</t>
  </si>
  <si>
    <t>Toetused eakatele</t>
  </si>
  <si>
    <r>
      <t>sh</t>
    </r>
    <r>
      <rPr>
        <sz val="8"/>
        <rFont val="Arial"/>
        <family val="2"/>
        <charset val="186"/>
      </rPr>
      <t xml:space="preserve"> toetus (a)</t>
    </r>
  </si>
  <si>
    <t>teenustasu Eesti Postile</t>
  </si>
  <si>
    <t>Toetused erivajadustega inimestele (a)</t>
  </si>
  <si>
    <t>puudega lapse toetus</t>
  </si>
  <si>
    <t>eluruumi kohandamise hüvitis puudega inimesele (ü)</t>
  </si>
  <si>
    <t>Mittetulundustegevuse toetamine</t>
  </si>
  <si>
    <r>
      <t xml:space="preserve">sh </t>
    </r>
    <r>
      <rPr>
        <sz val="8"/>
        <rFont val="Arial"/>
        <family val="2"/>
        <charset val="186"/>
      </rPr>
      <t>Tallinna Noorteklubi KODULINN</t>
    </r>
  </si>
  <si>
    <t>muu mittetulundustegevuse toetamine</t>
  </si>
  <si>
    <t>eakate ja puuetega inimeste ürituste korraldamiseks</t>
  </si>
  <si>
    <t>Tervishoid</t>
  </si>
  <si>
    <t>Tallinna Kiirabi</t>
  </si>
  <si>
    <t>Mitmesugused tervishoiukulud</t>
  </si>
  <si>
    <r>
      <t>sh</t>
    </r>
    <r>
      <rPr>
        <sz val="8"/>
        <rFont val="Arial"/>
        <family val="2"/>
        <charset val="186"/>
      </rPr>
      <t xml:space="preserve"> projektid ja programmid</t>
    </r>
  </si>
  <si>
    <t xml:space="preserve">õendusabi korraldamine </t>
  </si>
  <si>
    <t>Ravikindlustusega hõlmamata isikute ravikulud (a)</t>
  </si>
  <si>
    <t>Laste visiiditasust vabastamine</t>
  </si>
  <si>
    <t>Uimastiennetustegevus SA-s Tallinna Lastehaigla</t>
  </si>
  <si>
    <t>Kainestusmaja haldamine</t>
  </si>
  <si>
    <t>Noorte nõustamiskeskuste haldamine</t>
  </si>
  <si>
    <t>Toetus Tallinna Munitsipaalperearstikeskuse OÜ-le</t>
  </si>
  <si>
    <t>Tegevustoetus Sotsiaalrehabilitatsiooni Keskusele Loksa</t>
  </si>
  <si>
    <t>Toetus MTÜ-le AIDSi Tugikeskus uimastiennetustegevuseks</t>
  </si>
  <si>
    <t>Tootevaldkond: linnamajandus</t>
  </si>
  <si>
    <t>Tootegrupp: elamumajandus</t>
  </si>
  <si>
    <t>Elamute majandamine</t>
  </si>
  <si>
    <t>Äriruumide majandamine</t>
  </si>
  <si>
    <t>Ettevõtlusameti haldusala</t>
  </si>
  <si>
    <t>Tootevaldkond: ettevõtluskeskkond</t>
  </si>
  <si>
    <t>Tootegrupp: ettevõtluse arendamine</t>
  </si>
  <si>
    <t>Väikeettevõtlus</t>
  </si>
  <si>
    <t>Ettevõtluskeskkonna turundus</t>
  </si>
  <si>
    <t>Tööhõive tagamine</t>
  </si>
  <si>
    <t>Kopli Arenduskeskus</t>
  </si>
  <si>
    <t>Tootegrupp: turismi arendamine</t>
  </si>
  <si>
    <t>Konverentsiturism</t>
  </si>
  <si>
    <t>Kultuuriturism</t>
  </si>
  <si>
    <t>Turismiturundus</t>
  </si>
  <si>
    <t>Turismiinfoteenused</t>
  </si>
  <si>
    <t>Turismiinfrastruktuuri ja teenuste kvaliteedi arendus</t>
  </si>
  <si>
    <t>Statistika ja uuringud</t>
  </si>
  <si>
    <t>Tootegrupp: tarbija- ja hinnapoliitika</t>
  </si>
  <si>
    <t>Tarbijakaitse</t>
  </si>
  <si>
    <t>Tootegrupp: kaubandus</t>
  </si>
  <si>
    <t>Tallinna Turud</t>
  </si>
  <si>
    <t>munitsipaalkauplus</t>
  </si>
  <si>
    <t>Ettevõtluse haldus</t>
  </si>
  <si>
    <r>
      <t xml:space="preserve">Väikeettevõtluse toetamine, </t>
    </r>
    <r>
      <rPr>
        <i/>
        <u/>
        <sz val="10"/>
        <rFont val="Arial"/>
        <family val="2"/>
        <charset val="186"/>
      </rPr>
      <t>sh</t>
    </r>
  </si>
  <si>
    <t>uute töökohtade loomise toetus</t>
  </si>
  <si>
    <t>praktikajuhendaja toetus</t>
  </si>
  <si>
    <t>messitoetus</t>
  </si>
  <si>
    <t>Toetus SA-le Tallinna Ettevõtlusinkubaatorid</t>
  </si>
  <si>
    <t>Toetus SA-le Tallinna Lauluväljak</t>
  </si>
  <si>
    <t>Toetus SA-le Tallinna Televisioon</t>
  </si>
  <si>
    <t>Eelarvepositsioon</t>
  </si>
  <si>
    <t>Kommunaalameti haldusala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</si>
  <si>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</si>
  <si>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</si>
  <si>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</si>
  <si>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</si>
  <si>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</si>
  <si>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</si>
  <si>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</si>
  <si>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Piirkondlikud sündmused, projektid ja mittetulundustegevuse toetamine</t>
  </si>
  <si>
    <t>Sotsiaaltoetused</t>
  </si>
  <si>
    <t>Randade hooldus</t>
  </si>
  <si>
    <t>Üksikkorterite majandamine</t>
  </si>
  <si>
    <t>Linnaosa valitsuse reservfond</t>
  </si>
  <si>
    <t>Kristiine Linnaosa Valitsuse haldusala</t>
  </si>
  <si>
    <t>Lasnamäe Linnaosa Valitsuse haldusala</t>
  </si>
  <si>
    <r>
      <t>Tootegrupp: kultuuritegevus</t>
    </r>
    <r>
      <rPr>
        <sz val="8"/>
        <rFont val="Arial"/>
        <family val="2"/>
        <charset val="186"/>
      </rPr>
      <t xml:space="preserve"> (Kultuurikeskus Lindakivi)</t>
    </r>
  </si>
  <si>
    <r>
      <t>Noortekeskus</t>
    </r>
    <r>
      <rPr>
        <sz val="8"/>
        <rFont val="Arial"/>
        <family val="2"/>
        <charset val="186"/>
      </rPr>
      <t xml:space="preserve"> (Lasnamäe Noortekeskus)</t>
    </r>
  </si>
  <si>
    <r>
      <t>Spordihooned ja -rajatised</t>
    </r>
    <r>
      <rPr>
        <sz val="8"/>
        <rFont val="Arial"/>
        <family val="2"/>
        <charset val="186"/>
      </rPr>
      <t xml:space="preserve"> (Lasnamäe Spordikompleks)</t>
    </r>
  </si>
  <si>
    <r>
      <t>Laste päevakeskuse teenused</t>
    </r>
    <r>
      <rPr>
        <sz val="8"/>
        <rFont val="Arial"/>
        <family val="2"/>
        <charset val="186"/>
      </rPr>
      <t xml:space="preserve"> (Lasnamäe Lastekeskus)</t>
    </r>
  </si>
  <si>
    <r>
      <t>Päevakeskuse teenused</t>
    </r>
    <r>
      <rPr>
        <sz val="8"/>
        <rFont val="Arial"/>
        <family val="2"/>
        <charset val="186"/>
      </rPr>
      <t xml:space="preserve"> (Lasnamäe Sotsiaalkeskus)</t>
    </r>
  </si>
  <si>
    <r>
      <t>Koduteenused</t>
    </r>
    <r>
      <rPr>
        <sz val="8"/>
        <rFont val="Arial"/>
        <family val="2"/>
        <charset val="186"/>
      </rPr>
      <t xml:space="preserve"> (Lasnamäe Sotsiaalkeskus)</t>
    </r>
  </si>
  <si>
    <r>
      <t>Saunateenuse korraldamine</t>
    </r>
    <r>
      <rPr>
        <sz val="8"/>
        <rFont val="Arial"/>
        <family val="2"/>
        <charset val="186"/>
      </rPr>
      <t xml:space="preserve"> (Lasnamäe Saun)</t>
    </r>
  </si>
  <si>
    <t>Mustamäe Linnaosa Valitsuse haldusala</t>
  </si>
  <si>
    <t>Nõmme Linnaosa Valitsuse haldusala</t>
  </si>
  <si>
    <t>Pirita Linnaosa Valitsuse haldusala</t>
  </si>
  <si>
    <t>Põhja-Tallinna Valitsuse haldusala</t>
  </si>
  <si>
    <r>
      <t>Tootegrupp: kultuuritegevus</t>
    </r>
    <r>
      <rPr>
        <sz val="8"/>
        <rFont val="Arial"/>
        <family val="2"/>
        <charset val="186"/>
      </rPr>
      <t xml:space="preserve"> (Salme Kultuurikeskus)</t>
    </r>
  </si>
  <si>
    <r>
      <t>Noortekeskus</t>
    </r>
    <r>
      <rPr>
        <sz val="8"/>
        <rFont val="Arial"/>
        <family val="2"/>
        <charset val="186"/>
      </rPr>
      <t xml:space="preserve"> (Põhja-Tallinna Noortekeskus)</t>
    </r>
  </si>
  <si>
    <r>
      <t>Päevakeskuse teenused</t>
    </r>
    <r>
      <rPr>
        <sz val="8"/>
        <rFont val="Arial"/>
        <family val="2"/>
        <charset val="186"/>
      </rPr>
      <t xml:space="preserve"> (Põhja-Tallinna Sotsiaalkeskus)</t>
    </r>
  </si>
  <si>
    <r>
      <t>Koduteenused</t>
    </r>
    <r>
      <rPr>
        <sz val="8"/>
        <rFont val="Arial"/>
        <family val="2"/>
        <charset val="186"/>
      </rPr>
      <t xml:space="preserve"> (Paljassaare Sotsiaalmaja)</t>
    </r>
  </si>
  <si>
    <t>finantsteenused</t>
  </si>
  <si>
    <t>7.1. Tallinna Spordi- ja Noorsooamet</t>
  </si>
  <si>
    <t>muud tasulised teenused</t>
  </si>
  <si>
    <t>7.2. Pirita Spordikeskus</t>
  </si>
  <si>
    <t>ruumide kasutamine üritusteks</t>
  </si>
  <si>
    <t>7.3. Tallinna Spordihall</t>
  </si>
  <si>
    <t>7.4. Kadrioru Staadion</t>
  </si>
  <si>
    <t>7.5. Kristiine Sport</t>
  </si>
  <si>
    <t>7.6. Nõmme Spordikeskus</t>
  </si>
  <si>
    <t>muu müügitulu</t>
  </si>
  <si>
    <t>7.7. Tallinna Spordikool</t>
  </si>
  <si>
    <t>võistluste osalustasu</t>
  </si>
  <si>
    <t>spordilaagri teenused</t>
  </si>
  <si>
    <t xml:space="preserve">äriruumide üüritulu </t>
  </si>
  <si>
    <t>7.8. Tondiraba Spordikeskus</t>
  </si>
  <si>
    <t>tasu asutuse sõiduki kasutamise eest</t>
  </si>
  <si>
    <t>15.1. Haabersti Linnaosa Valitsus</t>
  </si>
  <si>
    <t>15.2. Haabersti Vaba Aja Keskus</t>
  </si>
  <si>
    <t>15.3. Haabersti Sotsiaalkeskus</t>
  </si>
  <si>
    <t>hoolekandeasutuse ruumide kasutamine üritusteks</t>
  </si>
  <si>
    <t>21.1. Pirita Linnaosa Valitsus</t>
  </si>
  <si>
    <t>21.2. Pirita Vaba Aja Keskus</t>
  </si>
  <si>
    <t>hoolekande muud teenused</t>
  </si>
  <si>
    <t>noortekeskuse ruumide kasutamise üritusteks</t>
  </si>
  <si>
    <t>5.1. Haridusamet</t>
  </si>
  <si>
    <t>teistelt kohalikelt omavalitsustelt koolide ja koolieelsete lasteasutuste tegevuskulude katteks</t>
  </si>
  <si>
    <t>teistelt kohalikelt omavalitsustelt huvikoolide tegevuskulude katteks</t>
  </si>
  <si>
    <t>5.2. Koolieelsed lasteasutused</t>
  </si>
  <si>
    <t>koolieelse lasteasutuse toitlustustasu</t>
  </si>
  <si>
    <t>koolieelse lasteasutuse kohatasu</t>
  </si>
  <si>
    <t>laste hoiu kohatasu</t>
  </si>
  <si>
    <t>laste hoiu toitlustustasu</t>
  </si>
  <si>
    <t>haridusasutuse ruumide kasutamine üritusteks</t>
  </si>
  <si>
    <t>5.3. Põhikoolid ja gümnaasiumid</t>
  </si>
  <si>
    <t>koolitoidutasu</t>
  </si>
  <si>
    <t>õppetasu</t>
  </si>
  <si>
    <t>muusikamaja ruumide kasutamine</t>
  </si>
  <si>
    <t>muusikamaja muud teenused</t>
  </si>
  <si>
    <t>5.4. Tallinna Kopli Ametikool</t>
  </si>
  <si>
    <t>ametikooli õppetasu</t>
  </si>
  <si>
    <t>5.5. Huvikoolid</t>
  </si>
  <si>
    <t>laagriteenused</t>
  </si>
  <si>
    <t>5.6. Tallinna Õpetajate Maja</t>
  </si>
  <si>
    <t>6.1. Kultuuriamet</t>
  </si>
  <si>
    <t>6.2. Tallinna Keskraamatukogu</t>
  </si>
  <si>
    <t>6.3. Tallinna Pelgulinna Rahvamaja</t>
  </si>
  <si>
    <t>6.4. Tallinna Linnamuuseum</t>
  </si>
  <si>
    <t>kultuuriasutuse muu teenus</t>
  </si>
  <si>
    <t>6.5. Tallinna Kirjanduskeskus</t>
  </si>
  <si>
    <t>6.6. Tallinna Loomaaed</t>
  </si>
  <si>
    <t>muu vara üür ja rent</t>
  </si>
  <si>
    <t>6.7. Tallinna Linnateater</t>
  </si>
  <si>
    <t>6.8. Tallinna Filharmoonia</t>
  </si>
  <si>
    <t>6.9. Tallinna Rahvaülikool</t>
  </si>
  <si>
    <t>6.10. Vene Kultuurikeskus</t>
  </si>
  <si>
    <t>16.1. Tallinna Kesklinna Valitsus</t>
  </si>
  <si>
    <t>16.2. Tallinna Kesklinna Sotsiaalkeskus</t>
  </si>
  <si>
    <t>dementsete vanurite päevahoiu tasu</t>
  </si>
  <si>
    <t>16.3. Raua Saun</t>
  </si>
  <si>
    <t>16.4. Kesklinna Vaba Aja Keskus</t>
  </si>
  <si>
    <t>noortekeskuse ruumide kasutamine üritusteks</t>
  </si>
  <si>
    <t>17.1. Kristiine Linnaosa Valitsus</t>
  </si>
  <si>
    <t>17.2. Kristiine Tegevuskeskus</t>
  </si>
  <si>
    <t>Eriilmeliste lasteaiakohtade loomine Tallinna linna lasteasutustes</t>
  </si>
  <si>
    <t>Nutikad loomaaiad. Rahvusvaheline teenustepakett loovaks õppimiseks Kesk-Läänemere Regiooni loomaaedades (SmartZoos)</t>
  </si>
  <si>
    <t>Haridusamet</t>
  </si>
  <si>
    <t>Tallinna Männikäbi Lasteaia hoone energiatõhususe parandamine</t>
  </si>
  <si>
    <t>Sitsi Lasteaia hoone energiatõhususe parandamine</t>
  </si>
  <si>
    <t>Järveotsa tee 33 hoone rekonstrueerimine lasteaiaks</t>
  </si>
  <si>
    <t>Tallinna Keskraamatukogule teavikute soetamine</t>
  </si>
  <si>
    <t>Tootevaldkond: haridus</t>
  </si>
  <si>
    <t>Tootegrupp: lastehoid ja alusharidus</t>
  </si>
  <si>
    <t>laste hoiu projekt</t>
  </si>
  <si>
    <t>eesti keele õpe vene õppekeelega rühmades</t>
  </si>
  <si>
    <t>Tootegrupp: põhi- ja üldkeskharidus</t>
  </si>
  <si>
    <t>finantskulud (a)</t>
  </si>
  <si>
    <t>Tootegrupp: kutseharidus</t>
  </si>
  <si>
    <t>Tootegrupp: huviharidus</t>
  </si>
  <si>
    <t>Tootegrupp: hariduse tugiteenused</t>
  </si>
  <si>
    <t>Tallinna Õpetajate Maja</t>
  </si>
  <si>
    <t>Tallinna Õppenõustamiskeskus</t>
  </si>
  <si>
    <t>Haridusalased tugiteenused</t>
  </si>
  <si>
    <t>haridustöötajate tunnustamine</t>
  </si>
  <si>
    <t>IKT keskkond</t>
  </si>
  <si>
    <t>Toetus SA-le Tallinna Tehnika- ja Teaduskeskus</t>
  </si>
  <si>
    <t>Toetus SA-le Tallinna Vene Lütseum</t>
  </si>
  <si>
    <t>välisrahastuse arvelt</t>
  </si>
  <si>
    <r>
      <t>Tootegrupp: raamatukogud</t>
    </r>
    <r>
      <rPr>
        <sz val="8"/>
        <rFont val="Arial"/>
        <family val="2"/>
        <charset val="186"/>
      </rPr>
      <t xml:space="preserve"> (Tallinna Keskraamatukogu)</t>
    </r>
  </si>
  <si>
    <r>
      <t>Tootegrupp: kultuuritegevus</t>
    </r>
    <r>
      <rPr>
        <sz val="8"/>
        <rFont val="Arial"/>
        <family val="2"/>
        <charset val="186"/>
      </rPr>
      <t xml:space="preserve"> (Vene Kultuurikeskus, Tallinna Pelgulinna Rahvamaja)</t>
    </r>
  </si>
  <si>
    <r>
      <t>Tootegrupp: muuseumid</t>
    </r>
    <r>
      <rPr>
        <sz val="8"/>
        <rFont val="Arial"/>
        <family val="2"/>
        <charset val="186"/>
      </rPr>
      <t xml:space="preserve"> (Tallinna Linnamuuseum)</t>
    </r>
  </si>
  <si>
    <r>
      <t>Tootegrupp: kirjanduskeskus</t>
    </r>
    <r>
      <rPr>
        <sz val="8"/>
        <rFont val="Arial"/>
        <family val="2"/>
        <charset val="186"/>
      </rPr>
      <t xml:space="preserve"> (Tallinna Kirjanduskeskus)</t>
    </r>
  </si>
  <si>
    <r>
      <t>Tootegrupp: loomaaed</t>
    </r>
    <r>
      <rPr>
        <sz val="8"/>
        <rFont val="Arial"/>
        <family val="2"/>
        <charset val="186"/>
      </rPr>
      <t xml:space="preserve"> (Tallinna Loomaaed)</t>
    </r>
  </si>
  <si>
    <r>
      <t>Tootegrupp: teater</t>
    </r>
    <r>
      <rPr>
        <sz val="8"/>
        <rFont val="Arial"/>
        <family val="2"/>
        <charset val="186"/>
      </rPr>
      <t xml:space="preserve"> (Tallinna Linnateater)</t>
    </r>
  </si>
  <si>
    <r>
      <t>Tootegrupp: kontsertteenus</t>
    </r>
    <r>
      <rPr>
        <sz val="8"/>
        <rFont val="Arial"/>
        <family val="2"/>
        <charset val="186"/>
      </rPr>
      <t xml:space="preserve"> (Tallinna Filharmoonia)</t>
    </r>
  </si>
  <si>
    <r>
      <t>Tootegrupp: koolitusteenus</t>
    </r>
    <r>
      <rPr>
        <sz val="8"/>
        <rFont val="Arial"/>
        <family val="2"/>
        <charset val="186"/>
      </rPr>
      <t xml:space="preserve"> (Tallinna Rahvaülikool)</t>
    </r>
  </si>
  <si>
    <t>Kultuuriamet</t>
  </si>
  <si>
    <t>Ülelinnalised kultuuriüritused ja -projektid*</t>
  </si>
  <si>
    <t>Olulisemad üritused:</t>
  </si>
  <si>
    <t>Hiina uusaasta</t>
  </si>
  <si>
    <t>Tallinna päev</t>
  </si>
  <si>
    <t>Kristjan Raua kunstipreemia</t>
  </si>
  <si>
    <t>Tallinna Merepäevad</t>
  </si>
  <si>
    <t>Birgitta festival</t>
  </si>
  <si>
    <t>Taasiseseisvumise aastapäev</t>
  </si>
  <si>
    <t>Kultuuriöö</t>
  </si>
  <si>
    <t>Rahvuskultuuride päev</t>
  </si>
  <si>
    <t>Hingedepäeva kontsert</t>
  </si>
  <si>
    <t>Jõulukontsert</t>
  </si>
  <si>
    <t>Talveöö unenägu</t>
  </si>
  <si>
    <t>* Eelarve täitmisel on linnavalitsusel õigus muuta summade jaotust ülelinnaliste kultuuriürituste üldsumma piires.</t>
  </si>
  <si>
    <t>Kultuuriprojektide ja -organisatsioonide toetamine</t>
  </si>
  <si>
    <t>sellest Tallinna Grand Prix ja publikupreemia</t>
  </si>
  <si>
    <t>Rahvusvaheline Rahvuskultuuride Ühenduste Liit Lüüra</t>
  </si>
  <si>
    <t>Vana Baskini Teater OÜ</t>
  </si>
  <si>
    <t>SA ORTHODOX SINGERS</t>
  </si>
  <si>
    <t>Jazzkaare Sõprade Ühing</t>
  </si>
  <si>
    <t>Eesti Kooriühing</t>
  </si>
  <si>
    <t>sellest EUROPA CANTAT 2018 ettevalmistamiseks</t>
  </si>
  <si>
    <t>Laulu- ja Tantsupeo Slaavi pärg Korralduskomitee</t>
  </si>
  <si>
    <t xml:space="preserve">Mittetulundusühing Mustonenfest   </t>
  </si>
  <si>
    <t>Toetus Revali Raeapteegi Muuseumi Ühingule</t>
  </si>
  <si>
    <t>Linna kunstikogu haldamine</t>
  </si>
  <si>
    <t>Tallinna teeneka kultuuritegelase preemia</t>
  </si>
  <si>
    <t>Vanalinna päevad</t>
  </si>
  <si>
    <t>aastavahetuse ilutulestik</t>
  </si>
  <si>
    <t>Sotsiaalabi osutamine juhtumikorralduse põhimõttel</t>
  </si>
  <si>
    <t>Turvalisuse projektid</t>
  </si>
  <si>
    <r>
      <t>Saunateenuse korraldamine</t>
    </r>
    <r>
      <rPr>
        <sz val="8"/>
        <rFont val="Arial"/>
        <family val="2"/>
        <charset val="186"/>
      </rPr>
      <t xml:space="preserve"> (Raua Saun)</t>
    </r>
  </si>
  <si>
    <t>Rahvarinde muuseum</t>
  </si>
  <si>
    <r>
      <t>Noortekeskus</t>
    </r>
    <r>
      <rPr>
        <sz val="8"/>
        <rFont val="Arial"/>
        <family val="2"/>
        <charset val="186"/>
      </rPr>
      <t xml:space="preserve"> (Kristiine Tegevuskeskus)</t>
    </r>
  </si>
  <si>
    <r>
      <t>Päevakeskuse teenused</t>
    </r>
    <r>
      <rPr>
        <sz val="8"/>
        <rFont val="Arial"/>
        <family val="2"/>
        <charset val="186"/>
      </rPr>
      <t xml:space="preserve"> (Kristiine Tegevuskeskus)</t>
    </r>
  </si>
  <si>
    <r>
      <t>Koduteenused</t>
    </r>
    <r>
      <rPr>
        <sz val="8"/>
        <rFont val="Arial"/>
        <family val="2"/>
        <charset val="186"/>
      </rPr>
      <t xml:space="preserve"> (Kristiine Tegevuskeskus)</t>
    </r>
  </si>
  <si>
    <t>rehabilitatsiooniteenus</t>
  </si>
  <si>
    <t>psüühiliste erivajadustega inimeste hoolekandeteenus</t>
  </si>
  <si>
    <t>pikaajaline kaitstud töö teenus</t>
  </si>
  <si>
    <r>
      <t>Ööpäevane üldhoolduse teenus</t>
    </r>
    <r>
      <rPr>
        <sz val="8"/>
        <rFont val="Arial"/>
        <family val="2"/>
        <charset val="186"/>
      </rPr>
      <t xml:space="preserve"> (Sotsiaal- ja Tervishoiuamet, Iru Hooldekodu)</t>
    </r>
  </si>
  <si>
    <t>Tallinna linna puuetega inimeste transpordi infosüsteem PIT2</t>
  </si>
  <si>
    <t>Tallinna ligipääsetavuse infosüsteemi lähteülesande koostamine</t>
  </si>
  <si>
    <t>juhtkoera pidamise toetus</t>
  </si>
  <si>
    <t>Ligipääsetavuse arengusuundade elluviimine</t>
  </si>
  <si>
    <t>sotsiaalmajutusüksuse kohatasu</t>
  </si>
  <si>
    <t>sotsiaalmajutusüksuse saunateenus</t>
  </si>
  <si>
    <t>piletimüügi teenustasu</t>
  </si>
  <si>
    <t>tulu koolibussi teenuse osutamisest teistele valdadele</t>
  </si>
  <si>
    <t>veetranspordi piletitulu</t>
  </si>
  <si>
    <t>12.1. Kommunaalamet</t>
  </si>
  <si>
    <t>veoseloa tasu</t>
  </si>
  <si>
    <t>kindlustushüvitised</t>
  </si>
  <si>
    <t>12.2. Kadrioru Park</t>
  </si>
  <si>
    <t>haljastusteenused</t>
  </si>
  <si>
    <t>13.1. Keskkonnaamet</t>
  </si>
  <si>
    <t>tasu jäätmete vastuvõtmise eest jäätmejaamas</t>
  </si>
  <si>
    <t>13.2. Tallinna Kalmistud</t>
  </si>
  <si>
    <t>kalmistuteenused</t>
  </si>
  <si>
    <t>väikeloomade krematooriumiteenus</t>
  </si>
  <si>
    <t>väikeloomade transport</t>
  </si>
  <si>
    <t>13.3. Tallinna Botaanikaaed</t>
  </si>
  <si>
    <t>botaanikaaia piletitulu</t>
  </si>
  <si>
    <t>muud botaanikaaia tasulised teenused</t>
  </si>
  <si>
    <t>looduskooli tasu</t>
  </si>
  <si>
    <t>13.4. Tallinna Jäätmekeskus</t>
  </si>
  <si>
    <t>jäätmeveo teenustasu</t>
  </si>
  <si>
    <t>14. Linnaplaneerimise Amet</t>
  </si>
  <si>
    <t>19.1. Mustamäe Linnaosa Valitsus</t>
  </si>
  <si>
    <t>19.2. Mustamäe Kultuurikeskus Kaja</t>
  </si>
  <si>
    <t>19.3. Mustamäe Päevakeskus</t>
  </si>
  <si>
    <t>20.1. Nõmme Linnaosa Valitsus</t>
  </si>
  <si>
    <t>muuseumi piletitulu</t>
  </si>
  <si>
    <t>muuseumi muu teenus</t>
  </si>
  <si>
    <t>sauna piletitulu</t>
  </si>
  <si>
    <t>20.2. Nõmme Kultuurikeskus</t>
  </si>
  <si>
    <t>20.3. Nõmme Vaba Aja Keskus</t>
  </si>
  <si>
    <t>20.4. Nõmme Sotsiaalmaja</t>
  </si>
  <si>
    <t>Sotsiaalmajutusüksused</t>
  </si>
  <si>
    <t>Tallinna kinnisvararegister</t>
  </si>
  <si>
    <t>Elamumajanduse muud kulud</t>
  </si>
  <si>
    <r>
      <t xml:space="preserve">sh </t>
    </r>
    <r>
      <rPr>
        <sz val="8"/>
        <rFont val="Arial"/>
        <family val="2"/>
        <charset val="186"/>
      </rPr>
      <t>eluruumide haldamine</t>
    </r>
  </si>
  <si>
    <t>Loopealse elurajooni üürimaksed</t>
  </si>
  <si>
    <t>Raadiku elurajooni üürimaksed</t>
  </si>
  <si>
    <t>ohtlike ja linnapilti risustavate hoonete lammutamine</t>
  </si>
  <si>
    <t>korteriühistute infopunkt</t>
  </si>
  <si>
    <t>elamumajandusprojektide toetamine</t>
  </si>
  <si>
    <t>toetus korteriühistutele energiamärgise taotlemiseks (a)</t>
  </si>
  <si>
    <t>toetus Eesti Üürnike Liidule</t>
  </si>
  <si>
    <t>Toetus Tallinna Linnahalli AS-ile</t>
  </si>
  <si>
    <t>Tootevaldkond: linnatransport</t>
  </si>
  <si>
    <t>Tootegrupp: ühistransport</t>
  </si>
  <si>
    <t>Liinivedu</t>
  </si>
  <si>
    <t>Piletimajandus</t>
  </si>
  <si>
    <t>Liiniveo infosüsteemid</t>
  </si>
  <si>
    <t>Tootegrupp: liikluskorraldus*</t>
  </si>
  <si>
    <t>* Eelarve täitmisel on lubatud soetada fooriobjektide hooldusremondi teostamiseks vajalikku materiaalset ja/või immateriaalset põhivara.</t>
  </si>
  <si>
    <t>Tootegrupp: parkimiskorraldus</t>
  </si>
  <si>
    <t>Ühistranspordi infrastruktuuri haldamine</t>
  </si>
  <si>
    <r>
      <t xml:space="preserve">sh </t>
    </r>
    <r>
      <rPr>
        <sz val="8"/>
        <rFont val="Arial"/>
        <family val="2"/>
        <charset val="186"/>
      </rPr>
      <t>Viru keskuse autobussiterminal</t>
    </r>
  </si>
  <si>
    <t>ühistranspordi ootepaviljonide hooldus</t>
  </si>
  <si>
    <t>ühistranspordi peatuste info</t>
  </si>
  <si>
    <t>Muud linnatranspordi kulud</t>
  </si>
  <si>
    <r>
      <t xml:space="preserve">sh </t>
    </r>
    <r>
      <rPr>
        <sz val="8"/>
        <rFont val="Arial"/>
        <family val="2"/>
        <charset val="186"/>
      </rPr>
      <t>liinivedu laevaga</t>
    </r>
  </si>
  <si>
    <t>sadamate haldus</t>
  </si>
  <si>
    <t>Ühistranspordi uuringud ja projektid</t>
  </si>
  <si>
    <t>muud uuringud ja projektid</t>
  </si>
  <si>
    <t>Tootevaldkond: teed ja tänavad*</t>
  </si>
  <si>
    <t>Tootegrupp: teetööd</t>
  </si>
  <si>
    <t>Teerajatiste korrashoid</t>
  </si>
  <si>
    <t>Teerajatiste puhastamine</t>
  </si>
  <si>
    <t>Jalakäijate tunnelite hooldus</t>
  </si>
  <si>
    <t>Tootegrupp: tänavavalgustus</t>
  </si>
  <si>
    <t>* Eelarve täitmisel on linnavalitsusel õigus muuta summade jaotust tootevaldkonna üldsumma piires.</t>
  </si>
  <si>
    <r>
      <t>Haljastute hooldus</t>
    </r>
    <r>
      <rPr>
        <sz val="8"/>
        <rFont val="Arial"/>
        <family val="2"/>
        <charset val="186"/>
      </rPr>
      <t xml:space="preserve"> (Kadrioru Park)</t>
    </r>
  </si>
  <si>
    <t>Kommunaalamet</t>
  </si>
  <si>
    <t>Vesi ja kanalisatsioon*</t>
  </si>
  <si>
    <r>
      <t xml:space="preserve">sh </t>
    </r>
    <r>
      <rPr>
        <sz val="8"/>
        <rFont val="Arial"/>
        <family val="2"/>
        <charset val="186"/>
      </rPr>
      <t>sademevee puhastus (a)</t>
    </r>
  </si>
  <si>
    <t>tulekustutusvee tasud ja tuletõrjehüdrantide hoolduskulud</t>
  </si>
  <si>
    <t>Tallinna ühisveevärgi ja -kanalisatsiooni arendamise kava</t>
  </si>
  <si>
    <t>toetus Tallinna Vee-ettevõtjate Järelevalve SA-le</t>
  </si>
  <si>
    <t>* Eelarve täitmisel on linnavalitsusel õigus muuta summade jaotust eelarvepositsiooni üldsumma piires.</t>
  </si>
  <si>
    <t>Eraldised Häirekeskusele Tallinna abitelefoni 1345 töö korraldamiseks</t>
  </si>
  <si>
    <t>Vetelpääste avalikes supelrandades</t>
  </si>
  <si>
    <t>Teeregister</t>
  </si>
  <si>
    <t>jalgrattaparklad</t>
  </si>
  <si>
    <t>Harju tänava ja Nõmme teisaldatavad jääväljakud</t>
  </si>
  <si>
    <t>Soome ja Eesti Kommunaalmajanduse Ühingute aastakonverents</t>
  </si>
  <si>
    <r>
      <t>Lillefestivali korraldamine</t>
    </r>
    <r>
      <rPr>
        <sz val="8"/>
        <rFont val="Arial"/>
        <family val="2"/>
        <charset val="186"/>
      </rPr>
      <t xml:space="preserve"> (Kadrioru Park)</t>
    </r>
  </si>
  <si>
    <t>* Eelarve täitmisel on linnavalitsusel õigus muuta summade jaotust toetuste üldsumma piires.</t>
  </si>
  <si>
    <t>Välisrahastusega projektide ettevalmistamise kulud</t>
  </si>
  <si>
    <t>Haljastute hooldus</t>
  </si>
  <si>
    <t>Haljastute hooldusremont</t>
  </si>
  <si>
    <t xml:space="preserve">Laste ja noorte lillepidu </t>
  </si>
  <si>
    <t>Tallinna haridusasutuste näidishaljastusprojekt</t>
  </si>
  <si>
    <t>Tootegrupp: kalmistud</t>
  </si>
  <si>
    <r>
      <t>Kalmistuteenused</t>
    </r>
    <r>
      <rPr>
        <sz val="8"/>
        <rFont val="Arial"/>
        <family val="2"/>
        <charset val="186"/>
      </rPr>
      <t xml:space="preserve"> (Tallinna Kalmistud)</t>
    </r>
  </si>
  <si>
    <t>Tootegrupp: loomakaitse</t>
  </si>
  <si>
    <t>Tootegrupp: jäätmemajandus</t>
  </si>
  <si>
    <r>
      <t>Korraldatud jäätmevedu</t>
    </r>
    <r>
      <rPr>
        <sz val="8"/>
        <rFont val="Arial"/>
        <family val="2"/>
        <charset val="186"/>
      </rPr>
      <t xml:space="preserve"> (Tallinna Jäätmekeskus)</t>
    </r>
  </si>
  <si>
    <t>Taaskasutatavate ja ohtlike jäätmete käitlus</t>
  </si>
  <si>
    <t>Tootevaldkond: muud kommunaalkulud</t>
  </si>
  <si>
    <t>Tootegrupp: spetsiifilised matuseteenused</t>
  </si>
  <si>
    <r>
      <t>Tootegrupp: botaanikaaed</t>
    </r>
    <r>
      <rPr>
        <sz val="8"/>
        <rFont val="Arial"/>
        <family val="2"/>
        <charset val="186"/>
      </rPr>
      <t xml:space="preserve"> (Tallinna Botaanikaaed)</t>
    </r>
  </si>
  <si>
    <t>Keskkonnaamet</t>
  </si>
  <si>
    <t>Tallinna Energiaagentuur</t>
  </si>
  <si>
    <t>Keskkonnaprogrammid (ü)</t>
  </si>
  <si>
    <t>Toetus Mittetulundusühingule Keskkonnateenused</t>
  </si>
  <si>
    <t>Pääsküla prügila monitooring</t>
  </si>
  <si>
    <t>lastemänguväljakute hooldus</t>
  </si>
  <si>
    <t>heakorrakuu</t>
  </si>
  <si>
    <t>grafiti eemaldamine</t>
  </si>
  <si>
    <t>Aegna saare loodusmaja haldamine</t>
  </si>
  <si>
    <t>Õppekava toetav loodusõpe Tallinna Botaanikaaias</t>
  </si>
  <si>
    <t>Geomaatika</t>
  </si>
  <si>
    <t>Planeeringud ja arhitektuurikonkursid</t>
  </si>
  <si>
    <t>Muinsuskaitse</t>
  </si>
  <si>
    <t>Eraldised Päästeliidule vabatahtlike kaasamiseks õnnetuste ennetamisel</t>
  </si>
  <si>
    <r>
      <t>Päevakeskuse teenused</t>
    </r>
    <r>
      <rPr>
        <sz val="8"/>
        <rFont val="Arial"/>
        <family val="2"/>
        <charset val="186"/>
      </rPr>
      <t xml:space="preserve"> (Mustamäe Päevakeskus)</t>
    </r>
  </si>
  <si>
    <r>
      <t>Koduteenused</t>
    </r>
    <r>
      <rPr>
        <sz val="8"/>
        <rFont val="Arial"/>
        <family val="2"/>
        <charset val="186"/>
      </rPr>
      <t xml:space="preserve"> (Mustamäe Päevakeskus)</t>
    </r>
  </si>
  <si>
    <t>sellest toetus Eduard Vilde jutuvõistlusele Mustamäe koolides</t>
  </si>
  <si>
    <r>
      <t>Tootegrupp: kultuuritegevus</t>
    </r>
    <r>
      <rPr>
        <sz val="8"/>
        <rFont val="Arial"/>
        <family val="2"/>
        <charset val="186"/>
      </rPr>
      <t xml:space="preserve"> (Nõmme Kultuurikeskus)</t>
    </r>
  </si>
  <si>
    <r>
      <t>Noortekeskus</t>
    </r>
    <r>
      <rPr>
        <sz val="8"/>
        <rFont val="Arial"/>
        <family val="2"/>
        <charset val="186"/>
      </rPr>
      <t xml:space="preserve"> (Nõmme Vaba Aja Keskus)</t>
    </r>
  </si>
  <si>
    <t>Ööpäevane üldhoolduse teenus (Nõmme Sotsiaalmaja)</t>
  </si>
  <si>
    <r>
      <t>Laste päevakeskuse teenused</t>
    </r>
    <r>
      <rPr>
        <sz val="8"/>
        <rFont val="Arial"/>
        <family val="2"/>
        <charset val="186"/>
      </rPr>
      <t xml:space="preserve"> (Nõmme Vaba Aja Keskus)</t>
    </r>
  </si>
  <si>
    <r>
      <t>Päevakeskuse teenused</t>
    </r>
    <r>
      <rPr>
        <sz val="8"/>
        <rFont val="Arial"/>
        <family val="2"/>
        <charset val="186"/>
      </rPr>
      <t xml:space="preserve"> (Nõmme Vaba Aja Keskus)</t>
    </r>
  </si>
  <si>
    <r>
      <t>Koduteenused</t>
    </r>
    <r>
      <rPr>
        <sz val="8"/>
        <rFont val="Arial"/>
        <family val="2"/>
        <charset val="186"/>
      </rPr>
      <t xml:space="preserve"> (Nõmme Sotsiaalmaja)</t>
    </r>
  </si>
  <si>
    <r>
      <t>Sotsiaaleluaseme teenus</t>
    </r>
    <r>
      <rPr>
        <sz val="8"/>
        <rFont val="Arial"/>
        <family val="2"/>
        <charset val="186"/>
      </rPr>
      <t xml:space="preserve"> (Nõmme Sotsiaalmaja)</t>
    </r>
  </si>
  <si>
    <t>Saunateenuse korraldamine</t>
  </si>
  <si>
    <t xml:space="preserve">Paljassaare põik 5 ja Mustjõe tn 40 jäätmejaama ehitamine ja multiliftkonteinerite soetamine </t>
  </si>
  <si>
    <t>Reidi tee ehitus Tallinnas</t>
  </si>
  <si>
    <t>Viru keskuse bussiterminali remont</t>
  </si>
  <si>
    <t>NSB CoRe - Läänemere-Balti transpordikoridor kui regiooni ühendaja</t>
  </si>
  <si>
    <t>FLOW</t>
  </si>
  <si>
    <t>FinEst Link - Soome-Eesti Transpordiühendus</t>
  </si>
  <si>
    <t>FinEstSmartMobility - Helsingi Läänesadama - Tallinna Vanasadama vahelise liikuvuse parandamine nutikate lahenduste abil</t>
  </si>
  <si>
    <t>Energia teekaardid - R4E</t>
  </si>
  <si>
    <t>BLASTIC - plastijäätmete teekond Läänemerre</t>
  </si>
  <si>
    <t>NATTOURS - jätkusuutlikud loodusrajad linnades, kasutades uusi IT-lahendusi</t>
  </si>
  <si>
    <t>INTHERWASTE - piirkondadevaheline jäätmemajanduse keskkonda integreerimine Euroopa kultuuripärandiga linnades</t>
  </si>
  <si>
    <t>Läänemere linnade uurimislabor (Baltic Urban Lab)</t>
  </si>
  <si>
    <t>Pelguranna tn 31 tugikodu rajamine</t>
  </si>
  <si>
    <t>Välisrahastusega teede ja tänavate rekonstrueerimine</t>
  </si>
  <si>
    <t>sh Haabersti ristmiku rekonstrueerimine Tallinnas</t>
  </si>
  <si>
    <t>Gonsiori tänava rekonstrueerimine Tallinnas</t>
  </si>
  <si>
    <t>Vanasadama ja kesklinna vahelise liikuvuskeskkonna arendamine</t>
  </si>
  <si>
    <t>Linnapiirkondade kergliiklusteede ehitamine</t>
  </si>
  <si>
    <t>sh Viljandi mnt kergliiklustee</t>
  </si>
  <si>
    <t>Filtri teed Kadrioruga ja Ülemiste ühisterminaliga ühendav kergliiklustee</t>
  </si>
  <si>
    <t>Ülemiste järve liikumisrada (Tartu mnt lõigus Lennujaama tee – Vana-Tartu mnt)</t>
  </si>
  <si>
    <t>Vana-Kalamaja tänava rekonstrueerimine</t>
  </si>
  <si>
    <t>Heakord</t>
  </si>
  <si>
    <t>Tööturul võrdväärset osalemist toetav intervallhoiuteenus Tallinnas ja Viimsis</t>
  </si>
  <si>
    <t>MUUTUS MUUDES KOHUSTUSTES KOKKU</t>
  </si>
  <si>
    <t>MUUTUS RAHAS</t>
  </si>
  <si>
    <t>Hoiuste muutus</t>
  </si>
  <si>
    <t>MUUTUS FINANTSVARADES KOKKU</t>
  </si>
  <si>
    <t>HARIDUS</t>
  </si>
  <si>
    <t>KULTUUR</t>
  </si>
  <si>
    <t>TEED JA TÄNAVAD</t>
  </si>
  <si>
    <t>TEHNOVÕRGUD</t>
  </si>
  <si>
    <t>HEAKORD</t>
  </si>
  <si>
    <t>Tallinna linna hooldus-, heakorra- ja haljastustööde infosüsteemi loomine</t>
  </si>
  <si>
    <t>LINNAMAJANDUS</t>
  </si>
  <si>
    <t>LINNAPLANEERIMINE</t>
  </si>
  <si>
    <t>LINNA TUGITEENUSED</t>
  </si>
  <si>
    <t>Linnavolikogu</t>
  </si>
  <si>
    <t>Visioonikonverents</t>
  </si>
  <si>
    <t>Kultuurilinnade koostöövõrgustik</t>
  </si>
  <si>
    <t>IT-teenused (ü)</t>
  </si>
  <si>
    <t>Avalikud suhted</t>
  </si>
  <si>
    <t>Arendustegevus</t>
  </si>
  <si>
    <t>Personalijuhtimine</t>
  </si>
  <si>
    <t>Haldusteenused</t>
  </si>
  <si>
    <t>Finantsjuhtimine (ü)</t>
  </si>
  <si>
    <t>Linnavalitsus ja linnavalitsuse liikmete bürood</t>
  </si>
  <si>
    <t>Linnasekretäri büroo ja linna valdkondlike teenistuste isikkoosseis</t>
  </si>
  <si>
    <t>Juhtimistugi</t>
  </si>
  <si>
    <t>Liikmemaksud (a)</t>
  </si>
  <si>
    <t>Juriidilised teenused ja ühekordsed kohtuvaidlused</t>
  </si>
  <si>
    <t>Rahvaküsitlused</t>
  </si>
  <si>
    <t>Rahuliku kooselamise programm</t>
  </si>
  <si>
    <t>Vene Kultuurikeskusele eesti keele süvaõppe jätkamiseks venekeelsete koolide ja lasteaedade pedagoogidele</t>
  </si>
  <si>
    <t>Omavalitsusfoorumid ja koostöö arendamine</t>
  </si>
  <si>
    <t>Kesklinna videovalve</t>
  </si>
  <si>
    <t>Endiste linnapeade toetus (a)</t>
  </si>
  <si>
    <t>Toetus SA-le Tallinna Arengu- ja Koolituskeskus</t>
  </si>
  <si>
    <t>Stipendiumid</t>
  </si>
  <si>
    <t>Tallinna linna stipendium (Tallinna Ülikool)</t>
  </si>
  <si>
    <t>Tallinna linna Peterburi stipendium (Eesti Kunstiakadeemia)</t>
  </si>
  <si>
    <t>Tallinna linna Johan Pitka stipendium (Tallinna Tehnikaülikooli Eesti Mereakadeemia)</t>
  </si>
  <si>
    <t>Tallinna linna stipendium (Estonian Business School)</t>
  </si>
  <si>
    <t>Tallinna linna innovatsioonistipendium (Eesti Ettevõtluskõrgkool Mainor)</t>
  </si>
  <si>
    <t>Tallinna linna Anton Uessoni stipendium (Eesti Kunstiakadeemia)</t>
  </si>
  <si>
    <t>Koostöö arendamine partnerlinnade ja rahvusvaheliste organisatsioonidega</t>
  </si>
  <si>
    <t>Tootegrupp: arhiiviteenused</t>
  </si>
  <si>
    <t>Tallinna ajaloo üldkäsitluse koostamine ja väljaandmine (ü)</t>
  </si>
  <si>
    <t>Tootegrupp: perekonnaseisuteenused</t>
  </si>
  <si>
    <r>
      <t>Spordihallid ja -väljakud</t>
    </r>
    <r>
      <rPr>
        <sz val="8"/>
        <rFont val="Arial"/>
        <family val="2"/>
        <charset val="186"/>
      </rPr>
      <t xml:space="preserve"> (Tallinna Spordihall)</t>
    </r>
  </si>
  <si>
    <r>
      <t>Spordihooned ja -rajatised</t>
    </r>
    <r>
      <rPr>
        <sz val="8"/>
        <rFont val="Arial"/>
        <family val="2"/>
        <charset val="186"/>
      </rPr>
      <t xml:space="preserve"> (Pirita Spordikeskus, Tondiraba Spordikeskus, Kristiine Sport, Nõmme Spordikeskus)</t>
    </r>
  </si>
  <si>
    <r>
      <t>Ujulad</t>
    </r>
    <r>
      <rPr>
        <sz val="8"/>
        <rFont val="Arial"/>
        <family val="2"/>
        <charset val="186"/>
      </rPr>
      <t xml:space="preserve"> (Tallinna Spordihall, Kristiine Sport)</t>
    </r>
  </si>
  <si>
    <r>
      <t>Staadionid</t>
    </r>
    <r>
      <rPr>
        <sz val="8"/>
        <rFont val="Arial"/>
        <family val="2"/>
        <charset val="186"/>
      </rPr>
      <t xml:space="preserve"> (Kadrioru Staadion, Spordi- ja Noorsooamet - Snelli Staadion)</t>
    </r>
  </si>
  <si>
    <t>Tootegrupp: sporditegevuse toetamine</t>
  </si>
  <si>
    <t>Sporditegevuse toetamine (a)</t>
  </si>
  <si>
    <t>Tootegrupp: spordikoolid</t>
  </si>
  <si>
    <r>
      <t>Spordikoolid (</t>
    </r>
    <r>
      <rPr>
        <sz val="8"/>
        <rFont val="Arial"/>
        <family val="2"/>
        <charset val="186"/>
      </rPr>
      <t>Tallinna Spordikool</t>
    </r>
    <r>
      <rPr>
        <sz val="10"/>
        <rFont val="Arial"/>
        <family val="2"/>
        <charset val="186"/>
      </rPr>
      <t>)</t>
    </r>
  </si>
  <si>
    <t>Noorte info- ja nõustamiskeskus</t>
  </si>
  <si>
    <t>Spordi- ja Noorsooamet</t>
  </si>
  <si>
    <t>Eraspordibaaside toetus</t>
  </si>
  <si>
    <r>
      <t>sh</t>
    </r>
    <r>
      <rPr>
        <sz val="8"/>
        <rFont val="Arial"/>
        <family val="2"/>
        <charset val="186"/>
      </rPr>
      <t xml:space="preserve"> jäähallid</t>
    </r>
  </si>
  <si>
    <t>Spordiprojektide toetus</t>
  </si>
  <si>
    <t>Spordiklubi LiVal Sport</t>
  </si>
  <si>
    <t>Tallinna Spordiveteranid</t>
  </si>
  <si>
    <t>terviseliikumise programmüritused</t>
  </si>
  <si>
    <t>Tallinna meistrivõistlused</t>
  </si>
  <si>
    <t>Tallinna Maraton</t>
  </si>
  <si>
    <t>rahvusvahelised spordiüritused</t>
  </si>
  <si>
    <t>Tallinna noorsportlased</t>
  </si>
  <si>
    <t>talispordi toetamine</t>
  </si>
  <si>
    <t>saavutusspordi toetamine</t>
  </si>
  <si>
    <t>võitlusspordi toetamine</t>
  </si>
  <si>
    <t>Tallinna spordiaasta lõpetamine</t>
  </si>
  <si>
    <t>muud spordiprojektid</t>
  </si>
  <si>
    <t>Noorsootööprogrammid ja -projektid</t>
  </si>
  <si>
    <t>arendustegevus</t>
  </si>
  <si>
    <t>laagriprojektid</t>
  </si>
  <si>
    <t>parima noorsootöötaja preemia</t>
  </si>
  <si>
    <t>programmilised tegevused ja üritused</t>
  </si>
  <si>
    <t>noorte tänavakultuuri festival 2018</t>
  </si>
  <si>
    <t>toetused</t>
  </si>
  <si>
    <r>
      <rPr>
        <i/>
        <sz val="8"/>
        <rFont val="Arial"/>
        <family val="2"/>
        <charset val="186"/>
      </rPr>
      <t>sh</t>
    </r>
    <r>
      <rPr>
        <sz val="8"/>
        <rFont val="Arial"/>
        <family val="2"/>
        <charset val="186"/>
      </rPr>
      <t xml:space="preserve"> SA Õpilasmalev</t>
    </r>
  </si>
  <si>
    <t>Tallinna linna noortevolikogu</t>
  </si>
  <si>
    <t>noorsootööprojektid</t>
  </si>
  <si>
    <t>noorteühingud</t>
  </si>
  <si>
    <t>Noorsportlaste terviseuuringud</t>
  </si>
  <si>
    <t>UEFA Super Cup Tallinn 2018 korraldamine</t>
  </si>
  <si>
    <r>
      <t>Tootegrupp: kultuuritegevus</t>
    </r>
    <r>
      <rPr>
        <sz val="8"/>
        <rFont val="Arial"/>
        <family val="2"/>
        <charset val="186"/>
      </rPr>
      <t xml:space="preserve"> (Haabersti Vaba Aja Keskus)</t>
    </r>
  </si>
  <si>
    <r>
      <t xml:space="preserve">Noortekeskus </t>
    </r>
    <r>
      <rPr>
        <sz val="8"/>
        <rFont val="Arial"/>
        <family val="2"/>
        <charset val="186"/>
      </rPr>
      <t>(Haabersti Vaba Aja Keskus)</t>
    </r>
  </si>
  <si>
    <r>
      <t>Päevakeskuse teenused</t>
    </r>
    <r>
      <rPr>
        <sz val="8"/>
        <rFont val="Arial"/>
        <family val="2"/>
        <charset val="186"/>
      </rPr>
      <t xml:space="preserve"> (Haabersti Sotsiaalkeskus)</t>
    </r>
  </si>
  <si>
    <r>
      <t xml:space="preserve">Koduteenused </t>
    </r>
    <r>
      <rPr>
        <sz val="8"/>
        <rFont val="Arial"/>
        <family val="2"/>
        <charset val="186"/>
      </rPr>
      <t>(Haabersti Sotsiaalkeskus)</t>
    </r>
  </si>
  <si>
    <r>
      <t>Tootegrupp: kultuuritegevus</t>
    </r>
    <r>
      <rPr>
        <sz val="8"/>
        <rFont val="Arial"/>
        <family val="2"/>
        <charset val="186"/>
      </rPr>
      <t xml:space="preserve"> (Pirita Vaba Aja Keskus)</t>
    </r>
  </si>
  <si>
    <r>
      <t>Noortekeskus</t>
    </r>
    <r>
      <rPr>
        <sz val="8"/>
        <rFont val="Arial"/>
        <family val="2"/>
        <charset val="186"/>
      </rPr>
      <t xml:space="preserve"> (Pirita Vaba Aja Keskus)</t>
    </r>
  </si>
  <si>
    <r>
      <t>Päevakeskuse teenused</t>
    </r>
    <r>
      <rPr>
        <sz val="8"/>
        <rFont val="Arial"/>
        <family val="2"/>
        <charset val="186"/>
      </rPr>
      <t xml:space="preserve"> (Pirita Vaba Aja Keskus)</t>
    </r>
  </si>
  <si>
    <t>Koduteenused</t>
  </si>
  <si>
    <t>Linna üldkulud</t>
  </si>
  <si>
    <t>Linna rahahaldusega seotud finantskulud (a)</t>
  </si>
  <si>
    <t>Reservfond*, sh</t>
  </si>
  <si>
    <t>linnavalitsuse reservfond</t>
  </si>
  <si>
    <t>reservid, sh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</si>
  <si>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</si>
  <si>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</si>
  <si>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</si>
  <si>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* Eelarve täitmisel on linnavalitsusel õigus muuta linnavalitsuse reservfondi ja reservide jaotust ettenähtud üldsumma piires.</t>
  </si>
  <si>
    <t>Riigi ja muude institutsioonide toetuste arvelt tehtavad kulud (a; ü)</t>
  </si>
  <si>
    <t>Palga korrektsiooni reserv</t>
  </si>
  <si>
    <t>Tallinna Kesklinna Valitsuse haldusala</t>
  </si>
  <si>
    <r>
      <t>Tootegrupp: kultuuritegevus</t>
    </r>
    <r>
      <rPr>
        <sz val="8"/>
        <rFont val="Arial"/>
        <family val="2"/>
        <charset val="186"/>
      </rPr>
      <t xml:space="preserve"> (Kesklinna Vaba Aja Keskus)</t>
    </r>
  </si>
  <si>
    <r>
      <t>Noortekeskus</t>
    </r>
    <r>
      <rPr>
        <sz val="8"/>
        <rFont val="Arial"/>
        <family val="2"/>
        <charset val="186"/>
      </rPr>
      <t xml:space="preserve"> (Kesklinna Vaba Aja Keskus)</t>
    </r>
  </si>
  <si>
    <r>
      <t>Päevakeskuse teenused</t>
    </r>
    <r>
      <rPr>
        <sz val="8"/>
        <rFont val="Arial"/>
        <family val="2"/>
        <charset val="186"/>
      </rPr>
      <t xml:space="preserve"> (Tallinna Kesklinna Sotsiaalkeskus)</t>
    </r>
  </si>
  <si>
    <r>
      <t>Koduteenused</t>
    </r>
    <r>
      <rPr>
        <sz val="8"/>
        <rFont val="Arial"/>
        <family val="2"/>
        <charset val="186"/>
      </rPr>
      <t xml:space="preserve"> (Tallinna Kesklinna Sotsiaalkeskus)</t>
    </r>
  </si>
  <si>
    <t>SOTSIAALHOOLEKANNE</t>
  </si>
  <si>
    <t>TERVISHOID</t>
  </si>
  <si>
    <t>Pirita Palliklubi</t>
  </si>
  <si>
    <t>KESKKONNAKAITSE</t>
  </si>
  <si>
    <r>
      <t>Päevategevus ja -hoid</t>
    </r>
    <r>
      <rPr>
        <sz val="8"/>
        <rFont val="Arial"/>
        <family val="2"/>
        <charset val="186"/>
      </rPr>
      <t xml:space="preserve"> (Sotsiaal- ja Tervishoiuamet, Tallinna Tugikeskus Juks, Käo Tugikeskus)</t>
    </r>
  </si>
  <si>
    <r>
      <t>Teenused psüühiliste erivajadustega inimestele</t>
    </r>
    <r>
      <rPr>
        <sz val="8"/>
        <rFont val="Arial"/>
        <family val="2"/>
        <charset val="186"/>
      </rPr>
      <t xml:space="preserve"> (Tallinna Vaimse Tervise Keskus)</t>
    </r>
  </si>
  <si>
    <r>
      <t xml:space="preserve">Rehabilitatsiooniteenused </t>
    </r>
    <r>
      <rPr>
        <sz val="8"/>
        <rFont val="Arial"/>
        <family val="2"/>
        <charset val="186"/>
      </rPr>
      <t>(Tallinna Vaimse Tervise Keskus)</t>
    </r>
  </si>
  <si>
    <r>
      <t xml:space="preserve">Kaitstud töö teenus </t>
    </r>
    <r>
      <rPr>
        <sz val="8"/>
        <rFont val="Arial"/>
        <family val="2"/>
        <charset val="186"/>
      </rPr>
      <t>(Tallinna Tugikeskus Juks)</t>
    </r>
  </si>
  <si>
    <t>Paagi tn 10 korterelamu rekonstrueerimine</t>
  </si>
  <si>
    <t>Eelarvepositsioonid</t>
  </si>
  <si>
    <t>Tallinna linna infotehnoloogia stipendium (TTÜ IT Kolledž)</t>
  </si>
  <si>
    <t>toetus korteriühistutele rõdude ehitustehnilise ekspertiisi teostamiseks (a)</t>
  </si>
  <si>
    <t>SOHJOA - keskkonnasõbralikule ja isesõitvale viimase miili ühistranspordile üleminek Läänemere regioonis</t>
  </si>
  <si>
    <t>SUMBA - jätkusuutlik linnaliikuvus ja pendelränne Läänemere linnades</t>
  </si>
  <si>
    <t>CREATE - liiklusummikute vähendamine Euroopas: transpordi efektiivsuse edendamine</t>
  </si>
  <si>
    <t>Tehnovõrgud</t>
  </si>
  <si>
    <t>8.2. Käo Tugikeskus</t>
  </si>
  <si>
    <t xml:space="preserve">  sh eelarvelaenu tagastamine/võlakirjade tagasiostmine</t>
  </si>
  <si>
    <t>Sotsiaalhoolekandeasutuste remonttööd</t>
  </si>
  <si>
    <t>pensionilisa</t>
  </si>
  <si>
    <t>MTÜ Eesti Nukukunst</t>
  </si>
  <si>
    <t>Mittetulundusühing Lootus Sinuga</t>
  </si>
  <si>
    <t>E-TICKETING - Eesti ja Soome elektrooniliste piletisüsteemide ristkasutuse loomine</t>
  </si>
  <si>
    <t>Tallinna Loomaaia projekt „Pilvemets“</t>
  </si>
  <si>
    <t>Välisrahastusega projekt „Eriilmeliste lasteaiakohtade loomine Tallinna linna lasteasutustes“ (ü)</t>
  </si>
  <si>
    <t>MTÜ „Kultuuritraditsioonid“</t>
  </si>
  <si>
    <t>Välisrahastusega projekt „Tööturul võrdväärset osalemist toetav intervallhoiuteenus Tallinnas ja Viimsis“ (ü)</t>
  </si>
  <si>
    <t>Välisrahastusega projekt „Tallinna linna puuetega inimeste transpordi infosüsteem PIT2“</t>
  </si>
  <si>
    <t>Välisrahastusega projekt „Tallinna ligipääsetavuse infosüsteemi lähteülesande koostamine“</t>
  </si>
  <si>
    <t>projekt „Liinivõrgu optimeerimine“</t>
  </si>
  <si>
    <t>Välisrahastusega projekt „FLOW“ (ü)</t>
  </si>
  <si>
    <t>Välisrahastusega projekt „SOHJOA - keskkonnasõbralikule ja isesõitvale viimase miili ühistranspordile üleminek Läänemere regioonis“ (ü)</t>
  </si>
  <si>
    <t>Dokumentaalfilm „Kadriorg“</t>
  </si>
  <si>
    <t>Haridusselts „Vene Kultuuri Rahvaülikool“</t>
  </si>
  <si>
    <t>Välisrahastusega projekt „Nutikad loomaaiad. Rahvusvaheline teenustepakett loovaks õppimiseks Kesk-Läänemere Regiooni loomaaedades (SmartZoos)“ (ü)</t>
  </si>
  <si>
    <t>projekt „Sport kooli“</t>
  </si>
  <si>
    <t>Projekt „Tallinna Haigla“</t>
  </si>
  <si>
    <t>korteriühistute toetus „Roheline õu“</t>
  </si>
  <si>
    <t>Projekt „Koolibuss“</t>
  </si>
  <si>
    <t>Projekt „Pargi ja reisi“</t>
  </si>
  <si>
    <t>Välisrahastusega projekt „Läänemere linnade uurimislabor (Baltic Urban Lab)“ (ü)</t>
  </si>
  <si>
    <t>Välisrahastusega projekt „CREATE - liiklusummikute vähendamine Euroopas: transpordi efektiivsuse edendamine“ (ü)</t>
  </si>
  <si>
    <t>Välisrahastusega projekt „NSB CoRe - Läänemere-Balti transpordikoridor kui regiooni ühendaja“ (ü)</t>
  </si>
  <si>
    <t>Välisrahastusega projekt „FinEst Link - Soome-Eesti Transpordiühendus“ (ü)</t>
  </si>
  <si>
    <t>Välisrahastusega projekt „FinEstSmartMobility - Helsingi Läänesadama - Tallinna Vanasadama vahelise liikuvuse parandamine nutikate lahenduste abil“ (ü)</t>
  </si>
  <si>
    <t>Välisrahastusega projekt „E-TICKETING - Eesti ja Soome elektrooniliste piletisüsteemide ristkasutuse loomine“ (ü)</t>
  </si>
  <si>
    <t>Välisrahastusega projekt „SUMBA - jätkusuutlik linnaliikuvus ja pendelränne Läänemere linnades“ (ü)</t>
  </si>
  <si>
    <t>Välisrahastusega projekt „Energia teekaardid - R4E“ (ü)</t>
  </si>
  <si>
    <t>Välisrahastusega projekt „BLASTIC - plastijäätmete teekond Läänemerre“ (ü)</t>
  </si>
  <si>
    <t>Välisrahastusega projekt „NATTOURS - jätkusuutlikud loodusrajad linnades kasutades uusi IT lahendusi“ (ü)</t>
  </si>
  <si>
    <t>Välisrahastusega projekt „INTHERWASTE - piirkondadevaheline jäätmemajanduse keskkonda integreerimine Euroopa kultuuripärandiga linnades“ (ü)</t>
  </si>
  <si>
    <t>SPORT JA VABA AEG</t>
  </si>
  <si>
    <t>peale selle amortisatsioon</t>
  </si>
  <si>
    <r>
      <t>Tootegrupp: kultuuritegevus</t>
    </r>
    <r>
      <rPr>
        <sz val="8"/>
        <rFont val="Arial"/>
        <family val="2"/>
        <charset val="186"/>
      </rPr>
      <t xml:space="preserve"> (Mustamäe Kultuurikeskus Kaja)</t>
    </r>
  </si>
  <si>
    <r>
      <t>Noortekeskus</t>
    </r>
    <r>
      <rPr>
        <sz val="8"/>
        <rFont val="Arial"/>
        <family val="2"/>
        <charset val="186"/>
      </rPr>
      <t xml:space="preserve"> (Mustamäe Kultuurikeskus Kaja)</t>
    </r>
  </si>
  <si>
    <t>Välisrahastusega projekt „Freight TAILS - linnade kauba- ja raskeveokite liikumise logistika“ (ü)</t>
  </si>
  <si>
    <t>Freight TAILS - linnade kauba- ja raskeveokite liikumise logistika</t>
  </si>
  <si>
    <t>Loomaaia liigikaitse labori naaritsaaedikute kompleksi ehitus ja DNA-labori sisustus</t>
  </si>
  <si>
    <t>Smart-up BSR - nutika spetsialiseerumise edendamine Läänemere regioonis innovatsioonikeskuste koordineeritud tegevuse kaudu</t>
  </si>
  <si>
    <t>Välisrahastusega projekt „Smart-up BSR - nutika spetsialiseerumise edendamine Läänemere regioonis innovatsioonikeskuste koordineeritud tegevuse kaudu“</t>
  </si>
  <si>
    <t>sadamaala kergliiklustee lõigus Kalaranna tn – Reidi tee</t>
  </si>
  <si>
    <t>ART-Fortius MTÜ (Kuldne Mask Eestis)</t>
  </si>
  <si>
    <t>Esialgne eelarve</t>
  </si>
  <si>
    <t>Täpsustatud eelarve</t>
  </si>
  <si>
    <t>LINNA JUHTIMINE</t>
  </si>
  <si>
    <t>AVALIK KORD</t>
  </si>
  <si>
    <t>NOORSOOTÖÖ</t>
  </si>
  <si>
    <t>ETTEVÕTLUSKESKKOND</t>
  </si>
  <si>
    <t>LINNATRANSPORT</t>
  </si>
  <si>
    <t>MUUD KOMMUNAALKULUD</t>
  </si>
  <si>
    <t>LINNAOSADE RESERVFONDID</t>
  </si>
  <si>
    <t>Linna juhtimine</t>
  </si>
  <si>
    <t>Linna tugiteenused</t>
  </si>
  <si>
    <t>Haridus</t>
  </si>
  <si>
    <t>Kultuur</t>
  </si>
  <si>
    <t>Sport ja vaba aeg</t>
  </si>
  <si>
    <t>Noorsootöö</t>
  </si>
  <si>
    <t>Linnamajandus</t>
  </si>
  <si>
    <t>Muu majandus</t>
  </si>
  <si>
    <t>Ettevõtluskeskkond</t>
  </si>
  <si>
    <t>Linnatransport</t>
  </si>
  <si>
    <t>Teed ja tänavad</t>
  </si>
  <si>
    <t>Muud kommunaalkulud</t>
  </si>
  <si>
    <t>Keskkonnakaitse</t>
  </si>
  <si>
    <t>Linnaplaneerimine</t>
  </si>
  <si>
    <t>Muud valdkonnad</t>
  </si>
  <si>
    <t>Avalik kord</t>
  </si>
  <si>
    <t>Valdkonnad kokku</t>
  </si>
  <si>
    <t>Finantskulud</t>
  </si>
  <si>
    <t>Reservfond (linnavalitsus ja linnaosad)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</si>
  <si>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</si>
  <si>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</si>
  <si>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</si>
  <si>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Tegevuskulud, v.a riigieelarve ja muude eraldiste arvelt</t>
  </si>
  <si>
    <t>Riigi ja muude institutsioonide toetuste arvelt tehtavad kulud</t>
  </si>
  <si>
    <t>Kulud ametiasutuste haldusalade lõikes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</si>
  <si>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</si>
  <si>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</si>
  <si>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</si>
  <si>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</si>
  <si>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</si>
  <si>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</si>
  <si>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</si>
  <si>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Linnavalitsuse reservfond</t>
  </si>
  <si>
    <t>Kulud linnakassa arvelt</t>
  </si>
  <si>
    <t>Töötasu</t>
  </si>
  <si>
    <t>Linnavaraamet1</t>
  </si>
  <si>
    <t>Transpordiamet1</t>
  </si>
  <si>
    <t>Kommunaalameti haldusala1</t>
  </si>
  <si>
    <t>Linnaplaneerimise Amet1</t>
  </si>
  <si>
    <t>IT teenused</t>
  </si>
  <si>
    <t>töötasu</t>
  </si>
  <si>
    <t>Kulud</t>
  </si>
  <si>
    <t>Investeeringud</t>
  </si>
  <si>
    <t>Palga korrektsiooni reservi jaotus</t>
  </si>
  <si>
    <t xml:space="preserve">Tervishoid </t>
  </si>
  <si>
    <t>Esiaglne eelarve</t>
  </si>
  <si>
    <t>2017 tegelik</t>
  </si>
  <si>
    <t>LK</t>
  </si>
  <si>
    <t>Muud</t>
  </si>
  <si>
    <t>Tehnoloogilise lahenduse prototüübi loomine maa-aluste rajatiste 3D andmeseireks</t>
  </si>
  <si>
    <t>MUUTUS FINANTSVARADES (V.A RAHAS)</t>
  </si>
  <si>
    <t>tegevuskuludeks</t>
  </si>
  <si>
    <t>kaitstud töö teenus</t>
  </si>
  <si>
    <t>8.9. Tallinna Laste Turvakeskus</t>
  </si>
  <si>
    <t>kahjuhüvitised</t>
  </si>
  <si>
    <t>Säästlike ja kliimakindlate linna sademeveesüsteemide arendamine (LIFE UrbanStorm)</t>
  </si>
  <si>
    <t>Parku4SUMP</t>
  </si>
  <si>
    <t>HEAWATER – Läänemere valgala väikeste jõgede tervendamine toite- ning ohtlike ainete sissevoolu ärahoidmise kaudu</t>
  </si>
  <si>
    <t>Koosloome ja liitreaalsus linnaplaneerimises (Augmented Urbans)</t>
  </si>
  <si>
    <t>Põhitänavate välisvalgustuse rekonstrueerimise I etapp (sh Mustamäe)</t>
  </si>
  <si>
    <t>HEAWATER</t>
  </si>
  <si>
    <t>välisrahastuse kaasfinantseerimise arvelt</t>
  </si>
  <si>
    <t>Välisrahastusega projekt „Säästlike ja kliimakindlate linna sademeveesüsteemide arendamine (LIFE UrbanStorm)“ (ü)</t>
  </si>
  <si>
    <t>TOETUSED KOKKU</t>
  </si>
  <si>
    <t>2018 esialgne eelarve</t>
  </si>
  <si>
    <t>2018 täpsustatud eelarve</t>
  </si>
  <si>
    <t>sotsiaalhoolekandeasutuste koolitusteenused</t>
  </si>
  <si>
    <t>praktikalepingud</t>
  </si>
  <si>
    <t>teenused noorte sotsiaalse tõrjutuse ennetamiseks</t>
  </si>
  <si>
    <t>praktikaleping</t>
  </si>
  <si>
    <t>Gonsiori tänava rekonstrueerimine</t>
  </si>
  <si>
    <t>Põhja- ja Baltimaade avaliku halduse mobiilsusprogramm</t>
  </si>
  <si>
    <t>E-klienditoimik koduhooldusele ja koduõendusele-eelanalüüs ja lähteülesande koostamine</t>
  </si>
  <si>
    <t>CoastNet LIFE - rannikuelupaikade taastamine</t>
  </si>
  <si>
    <t>Väljamakse osakapitalist</t>
  </si>
  <si>
    <t>Laenude andmine</t>
  </si>
  <si>
    <t>asendushooldusteenuse kasutaja toetus</t>
  </si>
  <si>
    <t>hoolduspere vanema toetus</t>
  </si>
  <si>
    <t>Sotsiaaltöötajate tunnustamine</t>
  </si>
  <si>
    <t>Projekt "500 kodu korda" (ü)</t>
  </si>
  <si>
    <t>Projekt "Vabaturult korterite üürimine SMÜ elanikele"</t>
  </si>
  <si>
    <t>Projekt "Lähisuhtevägivalla olukorra kaardistamine Tallinnas, edasise tegevuse kava koostamine aastateks 2019-2022"</t>
  </si>
  <si>
    <t>Välisrahastusega projekt "Põhja- ja Baltimaade avaliku halduse mobiilsusprogramm"</t>
  </si>
  <si>
    <t>Välisrahastusega projekt  "E-klienditoimik koduhooldusele ja koduõendusele - eelanalüüs ja lähteülesande koostamine" (ü)</t>
  </si>
  <si>
    <t>Tervishoiutöötajate tunnustamine</t>
  </si>
  <si>
    <t>Projekt „Erivajadustega inimeste eluaseme füüsiline kohandamine“</t>
  </si>
  <si>
    <r>
      <t>Noortekodu teenus</t>
    </r>
    <r>
      <rPr>
        <sz val="8"/>
        <rFont val="Arial"/>
        <family val="2"/>
        <charset val="186"/>
      </rPr>
      <t xml:space="preserve"> (Tallinna Lastekodu)</t>
    </r>
  </si>
  <si>
    <t>Teadmiste ja kogemuste jagamine liikluse korraldamisel</t>
  </si>
  <si>
    <t>Päikeseelektrit tootvate teekatendite arendamine ja kasutuselevõtt</t>
  </si>
  <si>
    <t>Kettaheite legendide paraad</t>
  </si>
  <si>
    <t>Noorte sotsiaalse tõrjutuse ennetamine</t>
  </si>
  <si>
    <t>teenused (riik)</t>
  </si>
  <si>
    <t>MUUTUS LAENUNÕUETES KOKKU</t>
  </si>
  <si>
    <t>MUUTUS MUUDES NÕUETES KOKKU</t>
  </si>
  <si>
    <t>MUUTUSED NÕUETES</t>
  </si>
  <si>
    <t>Kasum/kahjum vara müügist</t>
  </si>
  <si>
    <t>lisaeelarve</t>
  </si>
  <si>
    <t>Lisaeelarve</t>
  </si>
  <si>
    <t>Laenude andmine (-)</t>
  </si>
  <si>
    <t>Väljamakse osakapitalist (+)</t>
  </si>
  <si>
    <t>2018 lisaeelarve</t>
  </si>
  <si>
    <t>2019 eelnõu</t>
  </si>
  <si>
    <t>LINNAKASSA TULUD</t>
  </si>
  <si>
    <t xml:space="preserve">       aktsia- ja osakapitali vähendamine</t>
  </si>
  <si>
    <t xml:space="preserve">        laenude andmine</t>
  </si>
  <si>
    <t>tegevuskulud välisrahastuse kaasfinantseerimise arvelt</t>
  </si>
  <si>
    <t>juhtumipõhine investeeringutoetus, sh</t>
  </si>
  <si>
    <t>Suur-Sõjamäe tn (Kesk-Sõjamäe tn – J. Smuuli tee)</t>
  </si>
  <si>
    <t>Tehnika tn jalakäijate ülekäiguradade erivalgustuse rajamine</t>
  </si>
  <si>
    <t>Narva mnt ja Pärnamäe tee ristmik</t>
  </si>
  <si>
    <r>
      <t>sh</t>
    </r>
    <r>
      <rPr>
        <sz val="8"/>
        <rFont val="Arial"/>
        <family val="2"/>
        <charset val="186"/>
      </rPr>
      <t xml:space="preserve"> koerte jalutusväljakute ja ujutamiskohtade hooldus</t>
    </r>
  </si>
  <si>
    <r>
      <t xml:space="preserve">sh </t>
    </r>
    <r>
      <rPr>
        <sz val="8"/>
        <rFont val="Arial"/>
        <family val="2"/>
        <charset val="186"/>
      </rPr>
      <t>ajutised välikäimlad</t>
    </r>
  </si>
  <si>
    <r>
      <t xml:space="preserve">sh </t>
    </r>
    <r>
      <rPr>
        <sz val="8"/>
        <rFont val="Arial"/>
        <family val="2"/>
        <charset val="186"/>
      </rPr>
      <t>liikluskorralduse uuringud</t>
    </r>
  </si>
  <si>
    <t>Toetus Eesti Ajaloo- ja Ühiskonnaõpetajate Seltsile</t>
  </si>
  <si>
    <t>MTÜ Tänavatöö</t>
  </si>
  <si>
    <t>Mittetulundusühing RightWay Tallinn</t>
  </si>
  <si>
    <t>ART-Fortius MTÜ (Talveöö unenägu)</t>
  </si>
  <si>
    <t>2018</t>
  </si>
  <si>
    <t xml:space="preserve"> I LEA</t>
  </si>
  <si>
    <t>ülelinnalised üritused</t>
  </si>
  <si>
    <t>MUUD VALDKONNAD</t>
  </si>
  <si>
    <t>Õppelaenu kustutamine</t>
  </si>
  <si>
    <t>Hariduasutuste IKT-keskkond</t>
  </si>
  <si>
    <t>sellest (ü)</t>
  </si>
  <si>
    <t>Teavitustöö rahvastikuregistri seaduse muudatustest (ü)</t>
  </si>
  <si>
    <t>Linna asutuste turvalisuse tõstmine</t>
  </si>
  <si>
    <r>
      <t xml:space="preserve">sh </t>
    </r>
    <r>
      <rPr>
        <sz val="8"/>
        <rFont val="Arial"/>
        <family val="2"/>
        <charset val="186"/>
      </rPr>
      <t>Jaan Poska stipendium (Tallinna Tehnikaülikool)</t>
    </r>
  </si>
  <si>
    <t>Rahvusvahelise kaitse saaja vastuvõtmise toetamine</t>
  </si>
  <si>
    <t>toetus välisprojektide kaasfinantseerimiseks</t>
  </si>
  <si>
    <t>Toode</t>
  </si>
  <si>
    <t>Lastehoid ja alusharidus</t>
  </si>
  <si>
    <t>Põhi- ja üldkeskharidus</t>
  </si>
  <si>
    <t>projekt "Ettevõtlusküla"</t>
  </si>
  <si>
    <t>Kutseharidus</t>
  </si>
  <si>
    <t>Huviharidus</t>
  </si>
  <si>
    <t xml:space="preserve">Toetus MTÜ-le Tallinna Erivajadustega Laste ja Noorte Tugiühing </t>
  </si>
  <si>
    <t>Toetus Sihtasutusele  Avatud Kool</t>
  </si>
  <si>
    <t>Raamatukogud</t>
  </si>
  <si>
    <t>Kultuuritegevus</t>
  </si>
  <si>
    <t>Muuseumid</t>
  </si>
  <si>
    <t>Kirjanduskeskus</t>
  </si>
  <si>
    <t>Loomaaed</t>
  </si>
  <si>
    <t>Teater</t>
  </si>
  <si>
    <t>Kontsertteenus</t>
  </si>
  <si>
    <t>Eesti Vabariik 100</t>
  </si>
  <si>
    <t>Tallinna kohtumised Peterburis</t>
  </si>
  <si>
    <t>Tall Ships Races 2021 ettevalmistus</t>
  </si>
  <si>
    <r>
      <t>sellest</t>
    </r>
    <r>
      <rPr>
        <sz val="8"/>
        <rFont val="Arial"/>
        <family val="2"/>
        <charset val="186"/>
      </rPr>
      <t xml:space="preserve"> MTÜ Pimedate Ööde Filmifestival</t>
    </r>
  </si>
  <si>
    <t>Mittetulundusühing VIIVO MUUSIKA  (festival-konkurss „Jõulutäht“)</t>
  </si>
  <si>
    <r>
      <t xml:space="preserve">sh </t>
    </r>
    <r>
      <rPr>
        <sz val="8"/>
        <rFont val="Arial"/>
        <family val="2"/>
        <charset val="186"/>
      </rPr>
      <t>Tallinna Spordiselts Kalev</t>
    </r>
  </si>
  <si>
    <t>Eesti Korvpalliliit</t>
  </si>
  <si>
    <t>MTÜ Spin</t>
  </si>
  <si>
    <t>Sotsiaal- ja Tervishoiuameti haldusala*</t>
  </si>
  <si>
    <t>Psühholoogiline nõustamine</t>
  </si>
  <si>
    <t>Muud asendushooldusteenused</t>
  </si>
  <si>
    <r>
      <t>Asendus- ja järelhooldusteenused (</t>
    </r>
    <r>
      <rPr>
        <sz val="8"/>
        <rFont val="Arial"/>
        <family val="2"/>
        <charset val="186"/>
      </rPr>
      <t>Sotsiaal- ja Tervishoiuamet, Tallinna lastekodu)</t>
    </r>
  </si>
  <si>
    <r>
      <t>Vanemlusprogrammi „Imelised aastad“ koolitused</t>
    </r>
    <r>
      <rPr>
        <sz val="8"/>
        <rFont val="Arial"/>
        <family val="2"/>
        <charset val="186"/>
      </rPr>
      <t xml:space="preserve"> (Tallinna Laste Turvakeskus, Tallinna Perekeskus)</t>
    </r>
  </si>
  <si>
    <t xml:space="preserve"> Imiku hoolduspakid (a)</t>
  </si>
  <si>
    <t>Sotsiaalhoolekanne*</t>
  </si>
  <si>
    <t>Sotsiaal- ja Tervishoiuamet*</t>
  </si>
  <si>
    <t>korteriühistute toetus (a)</t>
  </si>
  <si>
    <t>Toetus MTÜ-le Eesti Konverentsibüroo</t>
  </si>
  <si>
    <t>Toetus MTÜ-le Tallinn Restaurant Week</t>
  </si>
  <si>
    <t>Toetus SA-le Tallinna Teaduspark TEHNOPOL</t>
  </si>
  <si>
    <t>Toetus MTÜ-le Eesti Kulinaaria Instituut</t>
  </si>
  <si>
    <t>Toetus MTÜ-le Integratsiooni Ühiskondlik Algatuskeskus</t>
  </si>
  <si>
    <t>Toetus MTÜ-le Prototron</t>
  </si>
  <si>
    <t>Toetus MTÜ-le Eesti Käsitöö Liit</t>
  </si>
  <si>
    <t>Toetus MTÜ-le Eesti Toidumess</t>
  </si>
  <si>
    <t>Toetus MTÜ-le Electric Marathon International</t>
  </si>
  <si>
    <t>Toetus MTÜ-le Eesti Turismifirmade Liit</t>
  </si>
  <si>
    <t>Toetus MTÜ-le Robotex</t>
  </si>
  <si>
    <t>Toetus MTÜ-le Pimedate Ööde Filmifestival</t>
  </si>
  <si>
    <t>Toetus SA-le Filmitootmise Ekspordi Liit</t>
  </si>
  <si>
    <t>Välisrahastusega projekt „Teadmiste ja kogemuste jagamine liikluse korraldamisel" (ü)</t>
  </si>
  <si>
    <t>Välisrahastusega projekt „Park4SUMP – Innovaatilised parkimislahendused linnakeskkonnas“ (ü)</t>
  </si>
  <si>
    <t>Toetused korteriühistutele, sh*</t>
  </si>
  <si>
    <t>toetus korteriühistutele õuealade heakorrastamiseks (ü)</t>
  </si>
  <si>
    <t>toetus korteriühistutele fassaadide korrastamiseks (ü)</t>
  </si>
  <si>
    <t>supergraafilised seinapildid korterelamutele (ü)</t>
  </si>
  <si>
    <t>Linnapõllumajandus</t>
  </si>
  <si>
    <t>*</t>
  </si>
  <si>
    <t>Välisrahastusega projekt „HEAWATER - Läänemere valgala väikeste jõgede tervendamine toite- ning ohtlike ainete sissevoolu ärahoidmise kaudu” (ü)</t>
  </si>
  <si>
    <t>Välisrahastusega projekt „CoastNet LIFE- rannikuelupaikade taastamine” (ü)</t>
  </si>
  <si>
    <t>Toetused kirikute restaureerimiseks, sh</t>
  </si>
  <si>
    <t>EELK Tallinna Toompea Kaarli Kogudus (Kaarli kirik)</t>
  </si>
  <si>
    <t>MPEÕ Kiriku Tallinna Jumalaema Sündimise (Kaasani) Kogudus (Tallinna Kaasani kirik)</t>
  </si>
  <si>
    <t>Kirikurenessansi projekt ja muud restaureerimistoetused</t>
  </si>
  <si>
    <t>Välisrahastusega projekt "Koosloome ja liitreaalsus linnaplaneerimises (Augmented Urbans)" (ü)</t>
  </si>
  <si>
    <t>Pilootprojekt „Korteriühistute vaidluskomisjon“</t>
  </si>
  <si>
    <t>INVESTEERIMISTEGEVUSE EELARVE</t>
  </si>
  <si>
    <t>sh</t>
  </si>
  <si>
    <t>Antav sihtfinantseerimine</t>
  </si>
  <si>
    <t>Haldusala</t>
  </si>
  <si>
    <t>Objekti ja projekti nimetus</t>
  </si>
  <si>
    <t>Katte- allikas*</t>
  </si>
  <si>
    <t>Kogu-maksumuse muudatus</t>
  </si>
  <si>
    <t>INVESTEERIMISTEGEVUS KOKKU</t>
  </si>
  <si>
    <t>Kokku</t>
  </si>
  <si>
    <t>LE</t>
  </si>
  <si>
    <t>SE</t>
  </si>
  <si>
    <t>RE</t>
  </si>
  <si>
    <t>VR</t>
  </si>
  <si>
    <t>Koolieelsed lasteasutused</t>
  </si>
  <si>
    <t xml:space="preserve">sh </t>
  </si>
  <si>
    <t xml:space="preserve">Sitsi Lasteaia hoone energiatõhususe parandamine </t>
  </si>
  <si>
    <t>Pirita Kose Lasteaia juurdeehitus ja sisustus</t>
  </si>
  <si>
    <t>lasteaedade 100 mänguväljaku projekt EV100</t>
  </si>
  <si>
    <t>lasteaedade territooriumide korrastamine (välisvalgustus, krundisisesed teed ja parkimisplatsid)</t>
  </si>
  <si>
    <t>asenduspindade ettevalmistamine (lasteaedade tervikrenoveerimiste ettevalmistav etapp)</t>
  </si>
  <si>
    <t>lasteaedade remonttööd, soetused ja tuleohutusnõuete täitmine</t>
  </si>
  <si>
    <t>Põhikoolid ja gümnaasiumid</t>
  </si>
  <si>
    <t>Tallinna Pääsküla Gümnaasiumi tervikrenoveerimine, spordihoone ehitus ja sisustus</t>
  </si>
  <si>
    <t>Vanalinna Hariduskolleegiumi Pühavaimu 8 hoone renoveerimine ja sisustus</t>
  </si>
  <si>
    <t>Tallinna Prantsuse Lütseumi võimlahoone ehitus ja sisustus</t>
  </si>
  <si>
    <t>Tallinna Tondi Põhikooli hoone projekteerimine ja tööde alustamine</t>
  </si>
  <si>
    <t>Tallinna Saksa Gümnaasiumi ja Tallinna Arte Gümnaasiumi projekteerimine ning tervikrenoveerimise alustamine</t>
  </si>
  <si>
    <t>Tallinna Pae Gümnaasiumi juurdeehitus ja sisustus</t>
  </si>
  <si>
    <t>koolide renoveerimistööde projekteerimine (Tallinna Inglise Kolledž, Tallinna Kivimäe Põhikool, Tallinna Prantsuse Lütseum, Gustav Adolfi Gümnaasium, Tallinna Reaalkool jt)</t>
  </si>
  <si>
    <t>jalgrattaparklate rajamine koolide juurde</t>
  </si>
  <si>
    <t>spordisaalide ja staadionite arendamine</t>
  </si>
  <si>
    <t>Õismäe tee 50 ja Õismäe tee 130 asuvate staadionite korrastamine</t>
  </si>
  <si>
    <t>Tallinna Mustjõe Gümnaasiumi staadioni remont</t>
  </si>
  <si>
    <t>Tammsaare tee 147 staadioni lähteülesanne (Tallinna Mustamäe Humanitaargümnaasium)</t>
  </si>
  <si>
    <t>Tallinna Nõmme Gümnaasiumi spordihoone projekteerimine</t>
  </si>
  <si>
    <t>koolide remontööd, soetused ja tuleohutusnõuete täitmine</t>
  </si>
  <si>
    <t>Huvikoolid</t>
  </si>
  <si>
    <t>Tallinna Huvikeskus „Kullo“ renoveerimine ja Kristiine kontserdisaali ehitus</t>
  </si>
  <si>
    <t>Tallinna Muusikakooli Narva mnt 28 hoone renoveerimine ja sisustus</t>
  </si>
  <si>
    <t>Põhja-Tallinna linnaosa põlvkondade maja projekteerimine Kari tn 13</t>
  </si>
  <si>
    <t>huvikoolide remonttööd, soetused ja tuleohutusnõuete täitmine</t>
  </si>
  <si>
    <t>Õpetajate maja remonttööd ja soetused</t>
  </si>
  <si>
    <t>Tallinna Keskraamatukogu teavikute soetamine</t>
  </si>
  <si>
    <t>Tallinna Keskraamatukogu remonttööd ja soetused</t>
  </si>
  <si>
    <t xml:space="preserve">sh uue filiaali sisseseadmine Lasnamäele </t>
  </si>
  <si>
    <t xml:space="preserve">filiaalide remonttööd </t>
  </si>
  <si>
    <t>Vene Kultuurikeskuse remonttööd ja soetused</t>
  </si>
  <si>
    <t>sh kultuurikeskuse hoovi ehitustööd</t>
  </si>
  <si>
    <t>suure saali valgustus- ja helitehnika uuendamine</t>
  </si>
  <si>
    <t>Tallinna Linnamuuseumi remonttööd ja soetused</t>
  </si>
  <si>
    <t>Tallinna Loomaaia tiigrimaja rajamine</t>
  </si>
  <si>
    <t>Tallinna Loomaaia remonttööd ja soetused</t>
  </si>
  <si>
    <t>Tallinna Linnateatri arendusprojekt</t>
  </si>
  <si>
    <t>Hobuveski rekonstrueerimine</t>
  </si>
  <si>
    <t>Mustpeade Maja restaureerimine</t>
  </si>
  <si>
    <t>Tallinna Filharmoonia pillifond</t>
  </si>
  <si>
    <t>Tondi sõjakooli memoriaali rajamine</t>
  </si>
  <si>
    <t>V. Lenderi mälestusmärgi rajamine</t>
  </si>
  <si>
    <t>Tallinna Botaanikaaia remonttööd ja soetused</t>
  </si>
  <si>
    <t>sh alpinaariumi projekteerimine ja ehitamine</t>
  </si>
  <si>
    <t>kõrgekasvuliste püsilillede ekspositsiooni tugimüüri rekonstrueerimine</t>
  </si>
  <si>
    <t>herbaariumi inventari soetamine</t>
  </si>
  <si>
    <t>palmimaja remonttööd</t>
  </si>
  <si>
    <t>rosaariumi rajatiste rekonstrueerimine I etapp</t>
  </si>
  <si>
    <t>palmimaja rekonstrueerimise projekt</t>
  </si>
  <si>
    <t>majandushoone projekteerimine</t>
  </si>
  <si>
    <t>Muinsuskaitsealased investeeringud</t>
  </si>
  <si>
    <t>sh Toompea tugimüüri korrastamine</t>
  </si>
  <si>
    <t>linnamüüri korrastamine ja kujundamine</t>
  </si>
  <si>
    <t>Pirita kloostrivaremete korrastamine</t>
  </si>
  <si>
    <t>Mustamäe Kultuurikeskus Kaja ja linnaosa haldushoone ehitamine ja sisustamine</t>
  </si>
  <si>
    <t>Nõmme Muuseumi (Jaama tn 18) remonttööd ja soetused</t>
  </si>
  <si>
    <t>Rahumäe, Kivimäe ja Hiiu jaamahoonete remonttööd</t>
  </si>
  <si>
    <t>Salme Kultuurikeskuse remonttööd ja soetused</t>
  </si>
  <si>
    <t>Salme Kultuurikeskuse osaline rekonstrueerimine</t>
  </si>
  <si>
    <t xml:space="preserve">Kultuuriasutuste remonttööd ja soetused </t>
  </si>
  <si>
    <t>Tallinna Lauluväljaku investeeringud</t>
  </si>
  <si>
    <t>Spordiväljakute rajamine (M. Härma tn 14)</t>
  </si>
  <si>
    <t>Linnaosadesse spordiparkide rajamine</t>
  </si>
  <si>
    <t>Linnaosadesse jalg-, korv- ja võrkpalliväljakute rajamine</t>
  </si>
  <si>
    <t>Spordi- ja vaba aja valdkonna asutuste remonttööd ja soetused</t>
  </si>
  <si>
    <t>Kalevi staadioni rekonstrueerimine</t>
  </si>
  <si>
    <t>Tallinna Vaimse Tervise Keskuse investeeringud</t>
  </si>
  <si>
    <t>sh Pelguranna tn 31 hoone (olemasoleva kahekorruselise) renoveerimine</t>
  </si>
  <si>
    <t>Peterburi mnt 11 hoone renoveerimine</t>
  </si>
  <si>
    <t>Põhja-Tallinna Sotsiaalkeskuse (Sõle tn 61a) remont ja ümberehitustööd</t>
  </si>
  <si>
    <t>Iru Hooldekodu õenduskodu projekt</t>
  </si>
  <si>
    <t>Haabersti Sotsiaalkeskuse projekteerimine</t>
  </si>
  <si>
    <t>Iru Hooldekodu tuletõkkeuksed (9 tk)</t>
  </si>
  <si>
    <t>Muud sotsiaalhoolekande projektid</t>
  </si>
  <si>
    <t>sh Käo Tugikeskuse Maleva keskuse tervikrenoveerimise projekteerimine ja ehitus</t>
  </si>
  <si>
    <t>sotsiaalasutuste remonttööd ja soetused</t>
  </si>
  <si>
    <t>Tallinna Kiirabi meditsiinivarustuse soetamine</t>
  </si>
  <si>
    <t>Tallinna Kiirabi Retke tee 1 õueala rekonstrueerimine ja parkla laiendamine</t>
  </si>
  <si>
    <t>Tallinna Haigla projekteerimine</t>
  </si>
  <si>
    <t>Välisrahastusega teede kapitaalremont ja rekonstrueerimine</t>
  </si>
  <si>
    <t>sh Haabersti ristmiku rekonstrueerimine (sh ühistranspordirada kesklinna)</t>
  </si>
  <si>
    <t>Reidi tee ehitus</t>
  </si>
  <si>
    <t xml:space="preserve">Gonsiori tänava rekonstrueerimine </t>
  </si>
  <si>
    <t>Linnapiirkondade kergliiklusteede rajamine</t>
  </si>
  <si>
    <t>sh Viljandi mnt kergliiklustee (Pärnu mnt – Valdeku tn)</t>
  </si>
  <si>
    <t>Sadamaala kergliiklustee lõigus Kalaranna tn – Reidi tee</t>
  </si>
  <si>
    <t>Välisrahastuseta teede kapitaalremont ja rekonstrueerimine</t>
  </si>
  <si>
    <t>sh Vana-Pirita tee</t>
  </si>
  <si>
    <t>Tuuliku tee kõnnitee</t>
  </si>
  <si>
    <t>Gonsiori tn (Maneeži tn – Laikmaa tn)</t>
  </si>
  <si>
    <t>Juurdeveo tn</t>
  </si>
  <si>
    <t>Türi tn</t>
  </si>
  <si>
    <t>Weizenbergi tn (Poska tn – Mäekalda tn) kapitaalremont</t>
  </si>
  <si>
    <t>Valdeku tn (Vabaduse pst – Pärnu mnt)</t>
  </si>
  <si>
    <t>Kalasadama tn ja Põhja pst ristmik</t>
  </si>
  <si>
    <t>Kalevi Staadioni juurdepääsuteed ja parklad</t>
  </si>
  <si>
    <t>Pae asumi jalakäijate promenaad</t>
  </si>
  <si>
    <t>Mustamäe tee 121-138 esised teed</t>
  </si>
  <si>
    <t xml:space="preserve">Herne tn </t>
  </si>
  <si>
    <t>Tammsaare tee / Tondi tn / Rahumäe tee ristmik</t>
  </si>
  <si>
    <t xml:space="preserve">Hiiu-Suurtüki tn (Vääna tn – Harku tn) </t>
  </si>
  <si>
    <t>Kalasadama tn (kinnistutele T2 ja T4)</t>
  </si>
  <si>
    <t>Nõmme keskuse ristmik (koos Pärnu mnt ja Idakaare tn) I etapp</t>
  </si>
  <si>
    <t xml:space="preserve">Energia tn </t>
  </si>
  <si>
    <t>Rannamõisa tee 4d ristmiku rajamine</t>
  </si>
  <si>
    <t>Akadeemia tee 30a parkla rajamine</t>
  </si>
  <si>
    <t>ühistranspordipeatused ja -rajad</t>
  </si>
  <si>
    <t>kvartalisisesed teed ja kõnniteed</t>
  </si>
  <si>
    <t>sillad ja viaduktid</t>
  </si>
  <si>
    <t>Tallinna Majanduskooli parkimiskohad</t>
  </si>
  <si>
    <t>Tallinna Kiirabi parkla laiendamine Retke tee 1 kinnistul</t>
  </si>
  <si>
    <t>teekünnised</t>
  </si>
  <si>
    <t>järgnevate aastate projekteerimistööd</t>
  </si>
  <si>
    <t>Välisrahastuseta kergliiklusteede ja terviseradade rajamine</t>
  </si>
  <si>
    <t>sh Vabaõhukooli tee rekonstrueerimine lõigul Rahvakooli teest kuni Hunditubaka teeni</t>
  </si>
  <si>
    <t>laudtee läbi roostiku Tabasalu panga alt Kakumäe randa</t>
  </si>
  <si>
    <t>Õismäe raba terviserada</t>
  </si>
  <si>
    <t>Tänavavalgustuse ehitamine ja renoveerimine</t>
  </si>
  <si>
    <t>sh tänavavalgustuse ehitamine ja renoveerimine</t>
  </si>
  <si>
    <t>programm „Turvaline ülekäigurada“</t>
  </si>
  <si>
    <t>Fooriobjektide rajamine</t>
  </si>
  <si>
    <t>sh Rannamõisa tee / Pikaliiva tn ristmik</t>
  </si>
  <si>
    <t>Paljassaare tee / Tööstuse tn / Kopli tn / Sitsi tn ristmik</t>
  </si>
  <si>
    <t>Narva mnt TLÜ foorid</t>
  </si>
  <si>
    <t>Kadaka pst / Mäepealse tn ristmik</t>
  </si>
  <si>
    <t>Kadaka tee / Kassi tn ristmik</t>
  </si>
  <si>
    <t>Liikluskorraldusvahendite paigaldamine ja uuendamine (elektroonilised liiklusmärgid, foorikontrollerid, fooripead, liiklusjärelevalve seadmed)</t>
  </si>
  <si>
    <t>Liikluskorraldusvahendite kandurite uuendamine</t>
  </si>
  <si>
    <t>Maade ja asjaõiguste omandamine</t>
  </si>
  <si>
    <t>TRANSPORT</t>
  </si>
  <si>
    <t>Ootekodade soetamine ja paigaldamine</t>
  </si>
  <si>
    <t>Ühistranspordipeatustesse reaalajainfotabloode paigaldamine</t>
  </si>
  <si>
    <t>Trammide rekonstrueerimine</t>
  </si>
  <si>
    <t>Transpordiamet2</t>
  </si>
  <si>
    <t>Kopli suunal trammitee rekonstrueerimine (Tallinna Linnatranspordi Aktsiaselts)</t>
  </si>
  <si>
    <t>X</t>
  </si>
  <si>
    <t>Tehnoloogilise lahenduse prototüübi loomine maa-aluste rajatiste 3D-andmeseireks</t>
  </si>
  <si>
    <t>Kommunaalameti haldusala2</t>
  </si>
  <si>
    <t>Kiviaia tee puurkaev koos Kiviaia tee 12, 12a ja 14 kinnistute liitumispunktidega</t>
  </si>
  <si>
    <t>Kommunaalameti haldusala3</t>
  </si>
  <si>
    <t>Kadrioru pargi sademevee ülevoolutorustiku rajamine</t>
  </si>
  <si>
    <t>Tammsaare pargi rekonstrueerimine</t>
  </si>
  <si>
    <t>Muud pargid ja rohealad</t>
  </si>
  <si>
    <t>sh Õismäe tiigi amfiteatri rajamine</t>
  </si>
  <si>
    <t>Löwenruh pargi rekonstrueerimine</t>
  </si>
  <si>
    <t>Mustamäe parkide uuendamine (Männipark, Lepistiku park, Parditiigi park, Sütiste parkmets)</t>
  </si>
  <si>
    <t xml:space="preserve">Mustamäe hoovialade korrastamine </t>
  </si>
  <si>
    <t>Kase pargi rekonstrueerimine</t>
  </si>
  <si>
    <t>Süsta pargi rekonstrueerimine</t>
  </si>
  <si>
    <t>Stroomi puhkeala rekonstrueerimine</t>
  </si>
  <si>
    <t>Piiskopi aia korrastamine</t>
  </si>
  <si>
    <t>Mustjõe asumi külaplatsi rajamine</t>
  </si>
  <si>
    <t>Snelli tiigi puhastamine</t>
  </si>
  <si>
    <t>Katariina kai slipi projekteerimine ja rajamine</t>
  </si>
  <si>
    <t>Koguperemänguväljakute rajamine ja rekonstrueerimine</t>
  </si>
  <si>
    <t>sh Lillepi pargi peremänguväljak</t>
  </si>
  <si>
    <t>Männipargi peremänguväljak</t>
  </si>
  <si>
    <t>Mänguväljakud ja treeningelemendid</t>
  </si>
  <si>
    <t xml:space="preserve">sh Haaberstisse Tanuma tn 74 mänguväljaku rajamine </t>
  </si>
  <si>
    <t>Haaberstisse mänguväljaku rajamine (Vabaõhumuuseumi tee 4c)</t>
  </si>
  <si>
    <t>Kakumäele harrastussportlaste treeninguväljaku rajamine</t>
  </si>
  <si>
    <t>Harku järve rannaalale mänguväljaku rajamine</t>
  </si>
  <si>
    <t>Lasnamäe mänguväljakute rekonstrueerimine (Punane tn 43c, Ümera tn 9a, Loitsu tn 2 ja 4 hoov, Läänemere tee 3)</t>
  </si>
  <si>
    <t>Ehitajate tee 74a mänguväljaku rekonstrueerimine</t>
  </si>
  <si>
    <t>Sõpruse pst 234a mänguväljaku rajamine</t>
  </si>
  <si>
    <t>Randla tn 16a mänguväljaku rekonstrueerimine</t>
  </si>
  <si>
    <t>Laevastiku tn 1c mänguväljaku rekonstrueerimine</t>
  </si>
  <si>
    <t>Koerte jalutus- ja treeningväljakute rajamine ja rekonstrueerimine</t>
  </si>
  <si>
    <t>Kalmistute investeeringud</t>
  </si>
  <si>
    <t>sh Metsakalmistu abihoone / kaupluse kapitaalremont</t>
  </si>
  <si>
    <t>kalmistute kastmisveetrasside projekteerimine ja ehitamine</t>
  </si>
  <si>
    <t>Linnamööbli soetamine (prügikastid, pingid jm)</t>
  </si>
  <si>
    <t xml:space="preserve">Jäätmejaamade ehitamine ja multiliftkonteinerite soetamine </t>
  </si>
  <si>
    <t>sh Paljassaare põik 5 jäätmejaam</t>
  </si>
  <si>
    <t>Mustjõe tn 40 jäätmejaam</t>
  </si>
  <si>
    <r>
      <t>NATTOURS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– jätkusuutlikud rajad linnades, kasutades uusi
IT-lahendusi</t>
    </r>
  </si>
  <si>
    <t>„HEAWATER - Läänemere valgala väikeste jõgede tervendamine toite- ning ohtlike ainete sissevoolu ärahoidmise kaudu“</t>
  </si>
  <si>
    <t>Ühiselamu tüüpi hoonete renoveerimine</t>
  </si>
  <si>
    <t>sh Paagi tn 10</t>
  </si>
  <si>
    <t>Sõpruse pst 5</t>
  </si>
  <si>
    <t>Munitsipaalelamute projekteerimine, ehitamine ja sisustamine</t>
  </si>
  <si>
    <t xml:space="preserve">   sh Seenioride maja (Maleva tn 18)</t>
  </si>
  <si>
    <t>Muud linnamajanduse valdkonna remonttööd ja soetused</t>
  </si>
  <si>
    <t>Tallinna Linnahalli rekonstrueerimine</t>
  </si>
  <si>
    <t>Geoinfosüsteemide arendamine ja soetused</t>
  </si>
  <si>
    <t>Tallinna Linnaarhiivi hoone (Tolli tn 8) rekonstrueerimine</t>
  </si>
  <si>
    <t>Tallinna Perekonnaseisuameti pea- ja abihoone renoveerimine</t>
  </si>
  <si>
    <t>Linna hallatavate hoonete renoveerimine</t>
  </si>
  <si>
    <t>sellest Pärnu mnt 9 hoovipoolse fassaadi renoveerimine</t>
  </si>
  <si>
    <t>Nunne tn 18 fassaadide renoveerimine</t>
  </si>
  <si>
    <t>muud</t>
  </si>
  <si>
    <t>Tallinna kinnisvararegistri arendamine</t>
  </si>
  <si>
    <t>* Katteallikad:</t>
  </si>
  <si>
    <t>LE – linnaeelarve vahendite arvelt tehtavad kulutused, sisaldavad ka võetavat laenu</t>
  </si>
  <si>
    <t>OT – omatulude arvelt tehtavad kulutused</t>
  </si>
  <si>
    <t>SE – sihtotstarbeliste eraldiste arvelt tehtavad kulutused</t>
  </si>
  <si>
    <t>RE – riigieelarve vahenditest tehtavad kulutused</t>
  </si>
  <si>
    <t>VR – välisrahastuse arvelt tehtavad kulutused</t>
  </si>
  <si>
    <t>** Kogumaksumus on ilma sisendkäibemaksuta.</t>
  </si>
  <si>
    <t>Investeeringud valdkondade lõikes</t>
  </si>
  <si>
    <t>Kogumaksumus</t>
  </si>
  <si>
    <t>Tallinna linna 2018. aasta eelarve (Tallinna Linnavolikogu 14.12.2017 määrus nr 24)</t>
  </si>
  <si>
    <t>Tallinna linna 2018. aasta lisaeelarve (Tallinna Linnavolikogu 20.09.2018 määrus nr 16)</t>
  </si>
  <si>
    <t>Tallinna linna 2018. aasta eelarves palga korrektsiooni reservis ette nähtud vahendite jaotus (Tallinna Linnavalitsuse 31.01.2018 korraldus nr 153-k)</t>
  </si>
  <si>
    <t>ÕIGUSAKTID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</si>
</sst>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00"/>
    <numFmt numFmtId="167" formatCode="#,##0.0"/>
    <numFmt numFmtId="168" formatCode="_-* #,##0.00\ _k_r_-;\-* #,##0.00\ _k_r_-;_-* \-??\ _k_r_-;_-@_-"/>
    <numFmt numFmtId="169" formatCode="0.0%"/>
    <numFmt numFmtId="171" formatCode="#,##0_ ;\-#,##0\ "/>
  </numFmts>
  <fonts count="114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u/>
      <sz val="10"/>
      <name val="Arial"/>
      <family val="2"/>
      <charset val="186"/>
    </font>
    <font>
      <i/>
      <sz val="9"/>
      <name val="Arial"/>
      <family val="2"/>
    </font>
    <font>
      <u/>
      <sz val="10"/>
      <color theme="1"/>
      <name val="Arial"/>
      <family val="2"/>
      <charset val="186"/>
    </font>
    <font>
      <i/>
      <sz val="9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i/>
      <sz val="10"/>
      <color rgb="FF0070C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1"/>
      <color indexed="10"/>
      <name val="Arial"/>
      <family val="2"/>
    </font>
    <font>
      <sz val="10"/>
      <name val="Arial"/>
      <family val="2"/>
      <charset val="1"/>
    </font>
    <font>
      <sz val="9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9"/>
      <color rgb="FF0070C0"/>
      <name val="Arial"/>
      <family val="2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rgb="FF00B0F0"/>
      <name val="Arial"/>
      <family val="2"/>
      <charset val="186"/>
    </font>
    <font>
      <sz val="9"/>
      <color rgb="FF00B0F0"/>
      <name val="Arial"/>
      <family val="2"/>
      <charset val="186"/>
    </font>
    <font>
      <b/>
      <sz val="8"/>
      <name val="Times New Roman"/>
      <family val="1"/>
      <charset val="186"/>
    </font>
    <font>
      <i/>
      <sz val="9"/>
      <color rgb="FFFF66FF"/>
      <name val="Arial"/>
      <family val="2"/>
      <charset val="186"/>
    </font>
    <font>
      <u/>
      <sz val="9"/>
      <name val="Arial"/>
      <family val="2"/>
      <charset val="186"/>
    </font>
    <font>
      <i/>
      <sz val="10"/>
      <color rgb="FFFF0000"/>
      <name val="Arial"/>
      <family val="2"/>
      <charset val="186"/>
    </font>
    <font>
      <b/>
      <sz val="9"/>
      <name val="Arial"/>
      <family val="2"/>
      <charset val="186"/>
    </font>
    <font>
      <sz val="9.5"/>
      <color rgb="FF000000"/>
      <name val="Arial"/>
      <family val="2"/>
      <charset val="186"/>
    </font>
    <font>
      <u/>
      <sz val="10"/>
      <color theme="10"/>
      <name val="Arial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8" fillId="0" borderId="0"/>
    <xf numFmtId="0" fontId="48" fillId="0" borderId="0"/>
    <xf numFmtId="0" fontId="49" fillId="0" borderId="0"/>
    <xf numFmtId="0" fontId="27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/>
    <xf numFmtId="0" fontId="55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13" fillId="0" borderId="0"/>
    <xf numFmtId="0" fontId="13" fillId="0" borderId="0"/>
    <xf numFmtId="0" fontId="13" fillId="23" borderId="7" applyNumberFormat="0" applyFont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61" fillId="3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7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55" fillId="2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68" fillId="7" borderId="1" applyNumberFormat="0" applyAlignment="0" applyProtection="0"/>
    <xf numFmtId="0" fontId="69" fillId="0" borderId="6" applyNumberFormat="0" applyFill="0" applyAlignment="0" applyProtection="0"/>
    <xf numFmtId="0" fontId="70" fillId="22" borderId="0" applyNumberFormat="0" applyBorder="0" applyAlignment="0" applyProtection="0"/>
    <xf numFmtId="0" fontId="13" fillId="0" borderId="0"/>
    <xf numFmtId="0" fontId="13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6" fillId="0" borderId="0"/>
    <xf numFmtId="0" fontId="58" fillId="0" borderId="0"/>
    <xf numFmtId="0" fontId="58" fillId="0" borderId="0"/>
    <xf numFmtId="0" fontId="58" fillId="0" borderId="0"/>
    <xf numFmtId="0" fontId="13" fillId="0" borderId="0"/>
    <xf numFmtId="0" fontId="59" fillId="23" borderId="7" applyNumberFormat="0" applyFont="0" applyAlignment="0" applyProtection="0"/>
    <xf numFmtId="0" fontId="71" fillId="20" borderId="8" applyNumberFormat="0" applyAlignment="0" applyProtection="0"/>
    <xf numFmtId="9" fontId="13" fillId="0" borderId="0" applyFont="0" applyFill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58" fillId="0" borderId="0"/>
    <xf numFmtId="0" fontId="12" fillId="0" borderId="0"/>
    <xf numFmtId="0" fontId="13" fillId="0" borderId="0"/>
    <xf numFmtId="0" fontId="13" fillId="0" borderId="0"/>
    <xf numFmtId="9" fontId="84" fillId="0" borderId="0" applyFont="0" applyFill="0" applyBorder="0" applyAlignment="0" applyProtection="0"/>
    <xf numFmtId="0" fontId="13" fillId="0" borderId="0"/>
    <xf numFmtId="0" fontId="11" fillId="0" borderId="0"/>
    <xf numFmtId="0" fontId="13" fillId="0" borderId="0"/>
    <xf numFmtId="0" fontId="10" fillId="0" borderId="0"/>
    <xf numFmtId="0" fontId="48" fillId="0" borderId="0"/>
    <xf numFmtId="0" fontId="4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0" fontId="102" fillId="30" borderId="0" applyNumberFormat="0" applyBorder="0" applyAlignment="0" applyProtection="0"/>
    <xf numFmtId="0" fontId="103" fillId="31" borderId="0" applyNumberFormat="0" applyBorder="0" applyAlignment="0" applyProtection="0"/>
    <xf numFmtId="0" fontId="6" fillId="32" borderId="0" applyNumberFormat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104" fillId="0" borderId="0"/>
    <xf numFmtId="9" fontId="13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38" fillId="0" borderId="0"/>
    <xf numFmtId="0" fontId="113" fillId="0" borderId="0" applyNumberFormat="0" applyFill="0" applyBorder="0" applyAlignment="0" applyProtection="0"/>
  </cellStyleXfs>
  <cellXfs count="803">
    <xf numFmtId="0" fontId="0" fillId="0" borderId="0" xfId="0"/>
    <xf numFmtId="0" fontId="27" fillId="0" borderId="0" xfId="0" applyFont="1" applyFill="1" applyBorder="1"/>
    <xf numFmtId="0" fontId="34" fillId="0" borderId="0" xfId="0" applyFont="1" applyFill="1"/>
    <xf numFmtId="0" fontId="13" fillId="0" borderId="0" xfId="0" applyFont="1" applyFill="1" applyBorder="1" applyAlignment="1">
      <alignment horizontal="left" vertical="top"/>
    </xf>
    <xf numFmtId="3" fontId="35" fillId="0" borderId="0" xfId="0" applyNumberFormat="1" applyFont="1" applyFill="1" applyAlignment="1">
      <alignment vertical="top"/>
    </xf>
    <xf numFmtId="0" fontId="13" fillId="0" borderId="0" xfId="0" applyFont="1" applyFill="1"/>
    <xf numFmtId="3" fontId="34" fillId="0" borderId="0" xfId="0" applyNumberFormat="1" applyFont="1" applyFill="1" applyBorder="1"/>
    <xf numFmtId="0" fontId="13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3" fontId="33" fillId="0" borderId="0" xfId="0" applyNumberFormat="1" applyFont="1" applyFill="1" applyBorder="1" applyAlignment="1"/>
    <xf numFmtId="3" fontId="13" fillId="0" borderId="0" xfId="0" applyNumberFormat="1" applyFont="1" applyFill="1" applyAlignment="1"/>
    <xf numFmtId="3" fontId="34" fillId="0" borderId="0" xfId="0" applyNumberFormat="1" applyFont="1" applyFill="1" applyAlignment="1"/>
    <xf numFmtId="0" fontId="39" fillId="0" borderId="0" xfId="0" applyFont="1" applyFill="1"/>
    <xf numFmtId="14" fontId="34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right"/>
    </xf>
    <xf numFmtId="0" fontId="27" fillId="0" borderId="0" xfId="0" applyFont="1"/>
    <xf numFmtId="0" fontId="40" fillId="0" borderId="0" xfId="0" applyFont="1" applyFill="1" applyAlignment="1">
      <alignment horizontal="left" indent="2"/>
    </xf>
    <xf numFmtId="3" fontId="40" fillId="0" borderId="0" xfId="0" applyNumberFormat="1" applyFont="1" applyFill="1"/>
    <xf numFmtId="3" fontId="0" fillId="0" borderId="0" xfId="0" applyNumberFormat="1"/>
    <xf numFmtId="0" fontId="35" fillId="0" borderId="0" xfId="0" applyFont="1" applyFill="1" applyAlignment="1">
      <alignment horizontal="left" indent="4"/>
    </xf>
    <xf numFmtId="3" fontId="35" fillId="0" borderId="0" xfId="0" applyNumberFormat="1" applyFont="1" applyFill="1"/>
    <xf numFmtId="0" fontId="35" fillId="0" borderId="0" xfId="0" applyFont="1" applyFill="1" applyAlignment="1">
      <alignment horizontal="left" wrapText="1" indent="4"/>
    </xf>
    <xf numFmtId="0" fontId="35" fillId="0" borderId="0" xfId="35" applyNumberFormat="1" applyFont="1" applyFill="1" applyBorder="1" applyAlignment="1" applyProtection="1">
      <alignment horizontal="left" indent="6"/>
    </xf>
    <xf numFmtId="0" fontId="34" fillId="0" borderId="0" xfId="0" applyFont="1" applyFill="1" applyAlignment="1">
      <alignment horizontal="left" indent="1"/>
    </xf>
    <xf numFmtId="0" fontId="40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indent="4"/>
    </xf>
    <xf numFmtId="0" fontId="42" fillId="0" borderId="10" xfId="0" applyFont="1" applyFill="1" applyBorder="1" applyAlignment="1">
      <alignment horizontal="left" indent="1"/>
    </xf>
    <xf numFmtId="0" fontId="42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0" fontId="40" fillId="0" borderId="0" xfId="0" applyFont="1" applyFill="1" applyAlignment="1">
      <alignment horizontal="left" indent="1"/>
    </xf>
    <xf numFmtId="0" fontId="13" fillId="0" borderId="0" xfId="0" applyFont="1"/>
    <xf numFmtId="9" fontId="37" fillId="0" borderId="0" xfId="0" applyNumberFormat="1" applyFont="1"/>
    <xf numFmtId="0" fontId="39" fillId="0" borderId="0" xfId="0" applyFont="1"/>
    <xf numFmtId="0" fontId="0" fillId="0" borderId="0" xfId="0" applyAlignment="1">
      <alignment horizontal="right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Border="1"/>
    <xf numFmtId="3" fontId="27" fillId="0" borderId="0" xfId="0" applyNumberFormat="1" applyFont="1" applyFill="1" applyBorder="1"/>
    <xf numFmtId="3" fontId="34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 indent="1"/>
    </xf>
    <xf numFmtId="3" fontId="27" fillId="0" borderId="0" xfId="0" applyNumberFormat="1" applyFont="1" applyFill="1" applyBorder="1" applyAlignment="1">
      <alignment horizontal="left" indent="1"/>
    </xf>
    <xf numFmtId="3" fontId="27" fillId="0" borderId="0" xfId="0" applyNumberFormat="1" applyFont="1" applyFill="1" applyBorder="1" applyAlignment="1">
      <alignment horizontal="left"/>
    </xf>
    <xf numFmtId="0" fontId="27" fillId="0" borderId="0" xfId="0" quotePrefix="1" applyFont="1" applyFill="1" applyBorder="1"/>
    <xf numFmtId="3" fontId="27" fillId="0" borderId="0" xfId="0" quotePrefix="1" applyNumberFormat="1" applyFont="1" applyFill="1" applyBorder="1"/>
    <xf numFmtId="2" fontId="35" fillId="0" borderId="0" xfId="0" applyNumberFormat="1" applyFont="1" applyFill="1" applyBorder="1" applyAlignment="1">
      <alignment horizontal="left" indent="2"/>
    </xf>
    <xf numFmtId="3" fontId="35" fillId="0" borderId="0" xfId="0" applyNumberFormat="1" applyFont="1" applyFill="1" applyBorder="1" applyAlignment="1">
      <alignment horizontal="left" indent="2"/>
    </xf>
    <xf numFmtId="3" fontId="34" fillId="0" borderId="0" xfId="0" applyNumberFormat="1" applyFont="1" applyFill="1"/>
    <xf numFmtId="0" fontId="34" fillId="0" borderId="0" xfId="0" applyFont="1" applyFill="1" applyBorder="1" applyAlignment="1">
      <alignment wrapText="1"/>
    </xf>
    <xf numFmtId="0" fontId="39" fillId="0" borderId="0" xfId="0" applyFont="1" applyFill="1" applyBorder="1"/>
    <xf numFmtId="0" fontId="13" fillId="0" borderId="0" xfId="0" applyFont="1" applyFill="1" applyBorder="1"/>
    <xf numFmtId="0" fontId="45" fillId="0" borderId="0" xfId="0" applyFont="1" applyFill="1" applyBorder="1"/>
    <xf numFmtId="3" fontId="45" fillId="0" borderId="0" xfId="0" applyNumberFormat="1" applyFont="1" applyFill="1" applyBorder="1"/>
    <xf numFmtId="3" fontId="13" fillId="0" borderId="0" xfId="0" applyNumberFormat="1" applyFont="1" applyFill="1" applyBorder="1"/>
    <xf numFmtId="3" fontId="35" fillId="0" borderId="0" xfId="0" applyNumberFormat="1" applyFont="1" applyFill="1" applyBorder="1"/>
    <xf numFmtId="0" fontId="46" fillId="0" borderId="0" xfId="0" applyFont="1" applyFill="1" applyBorder="1"/>
    <xf numFmtId="3" fontId="46" fillId="0" borderId="0" xfId="0" applyNumberFormat="1" applyFont="1" applyFill="1" applyBorder="1"/>
    <xf numFmtId="0" fontId="47" fillId="0" borderId="0" xfId="0" applyFont="1" applyFill="1" applyBorder="1" applyAlignment="1">
      <alignment horizontal="left" indent="2"/>
    </xf>
    <xf numFmtId="2" fontId="47" fillId="0" borderId="0" xfId="0" applyNumberFormat="1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167" fontId="39" fillId="0" borderId="0" xfId="36" applyNumberFormat="1" applyFont="1" applyFill="1" applyBorder="1" applyAlignment="1">
      <alignment horizontal="left" wrapText="1"/>
    </xf>
    <xf numFmtId="0" fontId="40" fillId="0" borderId="0" xfId="36" applyFont="1" applyFill="1" applyBorder="1" applyAlignment="1" applyProtection="1">
      <alignment horizontal="left" vertical="top" indent="1"/>
    </xf>
    <xf numFmtId="0" fontId="35" fillId="0" borderId="0" xfId="36" applyNumberFormat="1" applyFont="1" applyFill="1" applyBorder="1" applyAlignment="1" applyProtection="1">
      <alignment horizontal="left" indent="1"/>
    </xf>
    <xf numFmtId="0" fontId="35" fillId="0" borderId="0" xfId="36" applyNumberFormat="1" applyFont="1" applyFill="1" applyBorder="1" applyAlignment="1" applyProtection="1">
      <alignment horizontal="left" indent="2"/>
    </xf>
    <xf numFmtId="3" fontId="34" fillId="0" borderId="0" xfId="0" applyNumberFormat="1" applyFont="1"/>
    <xf numFmtId="0" fontId="52" fillId="0" borderId="0" xfId="0" applyFont="1" applyBorder="1"/>
    <xf numFmtId="0" fontId="52" fillId="0" borderId="0" xfId="0" applyFont="1" applyBorder="1" applyAlignment="1">
      <alignment horizontal="left" indent="1"/>
    </xf>
    <xf numFmtId="0" fontId="33" fillId="0" borderId="0" xfId="0" applyFont="1" applyFill="1" applyBorder="1" applyAlignment="1">
      <alignment horizontal="left"/>
    </xf>
    <xf numFmtId="0" fontId="45" fillId="0" borderId="0" xfId="0" applyFont="1" applyBorder="1"/>
    <xf numFmtId="0" fontId="32" fillId="0" borderId="0" xfId="0" applyFont="1" applyBorder="1"/>
    <xf numFmtId="0" fontId="34" fillId="0" borderId="0" xfId="0" applyFont="1"/>
    <xf numFmtId="167" fontId="0" fillId="0" borderId="0" xfId="0" applyNumberFormat="1"/>
    <xf numFmtId="0" fontId="37" fillId="0" borderId="0" xfId="0" applyFont="1"/>
    <xf numFmtId="0" fontId="13" fillId="0" borderId="0" xfId="0" applyFont="1" applyAlignment="1">
      <alignment horizontal="left" indent="3"/>
    </xf>
    <xf numFmtId="3" fontId="13" fillId="0" borderId="0" xfId="0" applyNumberFormat="1" applyFont="1"/>
    <xf numFmtId="0" fontId="13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167" fontId="45" fillId="0" borderId="0" xfId="0" applyNumberFormat="1" applyFont="1"/>
    <xf numFmtId="0" fontId="34" fillId="0" borderId="0" xfId="0" applyNumberFormat="1" applyFont="1" applyFill="1" applyAlignment="1">
      <alignment horizontal="left" vertical="top"/>
    </xf>
    <xf numFmtId="3" fontId="40" fillId="0" borderId="0" xfId="0" applyNumberFormat="1" applyFont="1" applyFill="1" applyAlignment="1">
      <alignment vertical="top"/>
    </xf>
    <xf numFmtId="0" fontId="53" fillId="0" borderId="0" xfId="0" applyFont="1" applyFill="1" applyBorder="1"/>
    <xf numFmtId="3" fontId="43" fillId="0" borderId="0" xfId="0" applyNumberFormat="1" applyFont="1" applyBorder="1" applyAlignment="1"/>
    <xf numFmtId="3" fontId="34" fillId="0" borderId="0" xfId="0" applyNumberFormat="1" applyFont="1" applyBorder="1" applyAlignment="1"/>
    <xf numFmtId="0" fontId="52" fillId="0" borderId="0" xfId="0" applyFont="1" applyBorder="1" applyAlignment="1">
      <alignment horizontal="left" wrapText="1"/>
    </xf>
    <xf numFmtId="3" fontId="52" fillId="0" borderId="0" xfId="0" applyNumberFormat="1" applyFont="1" applyBorder="1" applyAlignment="1"/>
    <xf numFmtId="0" fontId="32" fillId="0" borderId="0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Border="1"/>
    <xf numFmtId="0" fontId="46" fillId="0" borderId="0" xfId="0" applyFont="1" applyFill="1" applyBorder="1" applyAlignment="1">
      <alignment horizontal="left" indent="1"/>
    </xf>
    <xf numFmtId="0" fontId="52" fillId="0" borderId="0" xfId="0" applyFont="1" applyBorder="1" applyAlignment="1">
      <alignment horizontal="left" indent="4"/>
    </xf>
    <xf numFmtId="0" fontId="34" fillId="0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3"/>
    </xf>
    <xf numFmtId="3" fontId="41" fillId="0" borderId="0" xfId="0" applyNumberFormat="1" applyFont="1" applyFill="1"/>
    <xf numFmtId="3" fontId="42" fillId="0" borderId="10" xfId="0" applyNumberFormat="1" applyFont="1" applyFill="1" applyBorder="1"/>
    <xf numFmtId="3" fontId="42" fillId="0" borderId="0" xfId="0" applyNumberFormat="1" applyFont="1" applyFill="1" applyBorder="1"/>
    <xf numFmtId="0" fontId="33" fillId="0" borderId="0" xfId="0" applyFont="1" applyBorder="1" applyAlignment="1">
      <alignment horizontal="left" wrapText="1"/>
    </xf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33" fillId="0" borderId="0" xfId="0" applyFont="1" applyBorder="1" applyAlignment="1">
      <alignment horizontal="left"/>
    </xf>
    <xf numFmtId="0" fontId="46" fillId="0" borderId="0" xfId="0" applyFont="1"/>
    <xf numFmtId="0" fontId="46" fillId="0" borderId="0" xfId="0" applyFont="1" applyFill="1"/>
    <xf numFmtId="0" fontId="46" fillId="0" borderId="0" xfId="0" applyFont="1" applyBorder="1"/>
    <xf numFmtId="0" fontId="52" fillId="0" borderId="0" xfId="0" applyFont="1" applyFill="1" applyBorder="1" applyAlignment="1">
      <alignment wrapText="1"/>
    </xf>
    <xf numFmtId="3" fontId="0" fillId="0" borderId="0" xfId="0" applyNumberFormat="1" applyFill="1"/>
    <xf numFmtId="3" fontId="13" fillId="0" borderId="0" xfId="0" applyNumberFormat="1" applyFont="1" applyFill="1"/>
    <xf numFmtId="14" fontId="34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13" fillId="0" borderId="0" xfId="0" applyFont="1" applyBorder="1" applyAlignment="1">
      <alignment horizontal="left" indent="1"/>
    </xf>
    <xf numFmtId="0" fontId="43" fillId="0" borderId="0" xfId="0" applyFont="1" applyBorder="1" applyAlignment="1">
      <alignment horizontal="left" indent="2"/>
    </xf>
    <xf numFmtId="0" fontId="52" fillId="0" borderId="0" xfId="0" applyFont="1" applyBorder="1" applyAlignment="1">
      <alignment horizontal="left" indent="3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left" vertical="top"/>
    </xf>
    <xf numFmtId="3" fontId="13" fillId="0" borderId="0" xfId="0" applyNumberFormat="1" applyFont="1" applyBorder="1" applyAlignment="1"/>
    <xf numFmtId="0" fontId="13" fillId="0" borderId="0" xfId="0" applyFont="1" applyFill="1" applyBorder="1" applyAlignment="1" applyProtection="1">
      <alignment horizontal="left" vertical="top" wrapText="1" indent="4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/>
    <xf numFmtId="0" fontId="13" fillId="0" borderId="0" xfId="0" applyFont="1" applyFill="1" applyBorder="1" applyAlignment="1">
      <alignment horizontal="left" indent="3"/>
    </xf>
    <xf numFmtId="0" fontId="3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top" indent="3"/>
    </xf>
    <xf numFmtId="0" fontId="45" fillId="0" borderId="0" xfId="0" applyFont="1" applyFill="1"/>
    <xf numFmtId="3" fontId="47" fillId="0" borderId="0" xfId="0" applyNumberFormat="1" applyFont="1" applyFill="1" applyBorder="1" applyAlignment="1">
      <alignment vertical="top"/>
    </xf>
    <xf numFmtId="3" fontId="46" fillId="0" borderId="0" xfId="0" applyNumberFormat="1" applyFont="1" applyFill="1"/>
    <xf numFmtId="3" fontId="46" fillId="0" borderId="0" xfId="0" applyNumberFormat="1" applyFont="1" applyFill="1" applyBorder="1" applyAlignment="1"/>
    <xf numFmtId="0" fontId="4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wrapText="1" indent="3"/>
    </xf>
    <xf numFmtId="3" fontId="34" fillId="0" borderId="0" xfId="0" applyNumberFormat="1" applyFont="1" applyFill="1" applyBorder="1" applyAlignment="1"/>
    <xf numFmtId="3" fontId="43" fillId="0" borderId="0" xfId="0" applyNumberFormat="1" applyFont="1" applyFill="1" applyBorder="1" applyAlignment="1"/>
    <xf numFmtId="0" fontId="13" fillId="0" borderId="0" xfId="0" applyFont="1" applyFill="1" applyAlignment="1">
      <alignment horizontal="left"/>
    </xf>
    <xf numFmtId="0" fontId="35" fillId="0" borderId="0" xfId="0" applyNumberFormat="1" applyFont="1" applyFill="1" applyAlignment="1">
      <alignment horizontal="left" vertical="top" indent="3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left" wrapText="1"/>
    </xf>
    <xf numFmtId="3" fontId="75" fillId="0" borderId="0" xfId="0" applyNumberFormat="1" applyFont="1"/>
    <xf numFmtId="0" fontId="52" fillId="0" borderId="0" xfId="50" applyFont="1" applyBorder="1" applyAlignment="1">
      <alignment wrapText="1"/>
    </xf>
    <xf numFmtId="0" fontId="32" fillId="0" borderId="0" xfId="0" applyFont="1" applyBorder="1" applyAlignment="1">
      <alignment horizontal="left" wrapText="1" indent="1"/>
    </xf>
    <xf numFmtId="0" fontId="32" fillId="0" borderId="0" xfId="0" applyFont="1" applyBorder="1" applyAlignment="1">
      <alignment horizontal="left" wrapText="1" indent="2"/>
    </xf>
    <xf numFmtId="0" fontId="34" fillId="0" borderId="0" xfId="0" applyFont="1" applyBorder="1"/>
    <xf numFmtId="0" fontId="35" fillId="0" borderId="0" xfId="0" applyFont="1" applyFill="1" applyAlignment="1">
      <alignment horizontal="left" wrapText="1" indent="6"/>
    </xf>
    <xf numFmtId="3" fontId="35" fillId="0" borderId="0" xfId="0" applyNumberFormat="1" applyFont="1" applyFill="1" applyAlignment="1"/>
    <xf numFmtId="0" fontId="79" fillId="0" borderId="0" xfId="0" applyNumberFormat="1" applyFont="1" applyFill="1" applyAlignment="1">
      <alignment horizontal="left" vertical="top"/>
    </xf>
    <xf numFmtId="0" fontId="80" fillId="0" borderId="0" xfId="36" applyNumberFormat="1" applyFont="1" applyFill="1" applyBorder="1" applyAlignment="1" applyProtection="1">
      <alignment horizontal="left" vertical="top" indent="1"/>
    </xf>
    <xf numFmtId="0" fontId="79" fillId="0" borderId="0" xfId="37" applyNumberFormat="1" applyFont="1" applyFill="1" applyBorder="1" applyAlignment="1">
      <alignment horizontal="left" vertical="top"/>
    </xf>
    <xf numFmtId="0" fontId="77" fillId="0" borderId="0" xfId="0" applyNumberFormat="1" applyFont="1" applyFill="1" applyAlignment="1">
      <alignment horizontal="left" vertical="top"/>
    </xf>
    <xf numFmtId="0" fontId="79" fillId="0" borderId="0" xfId="36" applyNumberFormat="1" applyFont="1" applyFill="1" applyBorder="1" applyAlignment="1" applyProtection="1">
      <alignment horizontal="left" vertical="top"/>
    </xf>
    <xf numFmtId="0" fontId="78" fillId="0" borderId="0" xfId="36" applyNumberFormat="1" applyFont="1" applyFill="1" applyBorder="1" applyAlignment="1" applyProtection="1">
      <alignment horizontal="left" vertical="top"/>
    </xf>
    <xf numFmtId="0" fontId="80" fillId="0" borderId="0" xfId="36" applyNumberFormat="1" applyFont="1" applyFill="1" applyBorder="1" applyAlignment="1" applyProtection="1">
      <alignment horizontal="left" vertical="top" wrapText="1" indent="2"/>
    </xf>
    <xf numFmtId="0" fontId="77" fillId="0" borderId="0" xfId="36" applyNumberFormat="1" applyFont="1" applyFill="1" applyBorder="1" applyAlignment="1">
      <alignment horizontal="left" vertical="top"/>
    </xf>
    <xf numFmtId="0" fontId="81" fillId="0" borderId="0" xfId="37" quotePrefix="1" applyNumberFormat="1" applyFont="1" applyFill="1" applyBorder="1" applyAlignment="1">
      <alignment horizontal="left" vertical="top" wrapText="1" indent="1"/>
    </xf>
    <xf numFmtId="0" fontId="46" fillId="0" borderId="0" xfId="43" applyFont="1" applyFill="1" applyBorder="1" applyAlignment="1">
      <alignment horizontal="left" vertical="top"/>
    </xf>
    <xf numFmtId="0" fontId="47" fillId="0" borderId="0" xfId="43" applyFont="1" applyFill="1" applyBorder="1" applyAlignment="1">
      <alignment horizontal="left" vertical="top" indent="3"/>
    </xf>
    <xf numFmtId="0" fontId="45" fillId="0" borderId="0" xfId="43" applyFont="1" applyFill="1" applyBorder="1" applyAlignment="1">
      <alignment horizontal="left" vertical="top"/>
    </xf>
    <xf numFmtId="0" fontId="47" fillId="0" borderId="0" xfId="43" applyFont="1" applyFill="1" applyBorder="1" applyAlignment="1">
      <alignment horizontal="left" vertical="top" wrapText="1" indent="3"/>
    </xf>
    <xf numFmtId="0" fontId="57" fillId="0" borderId="0" xfId="43" applyFont="1" applyFill="1" applyBorder="1" applyAlignment="1">
      <alignment horizontal="left" vertical="top"/>
    </xf>
    <xf numFmtId="0" fontId="46" fillId="0" borderId="0" xfId="43" applyFont="1" applyFill="1" applyBorder="1" applyAlignment="1">
      <alignment horizontal="left" vertical="top" wrapText="1"/>
    </xf>
    <xf numFmtId="0" fontId="46" fillId="0" borderId="0" xfId="43" applyFont="1" applyFill="1" applyAlignment="1">
      <alignment horizontal="left"/>
    </xf>
    <xf numFmtId="0" fontId="46" fillId="0" borderId="0" xfId="43" applyFont="1" applyFill="1" applyAlignment="1">
      <alignment horizontal="left" vertical="top"/>
    </xf>
    <xf numFmtId="0" fontId="57" fillId="0" borderId="0" xfId="43" applyFont="1" applyFill="1" applyBorder="1" applyAlignment="1">
      <alignment horizontal="left" vertical="top" wrapText="1"/>
    </xf>
    <xf numFmtId="2" fontId="47" fillId="0" borderId="0" xfId="43" applyNumberFormat="1" applyFont="1" applyFill="1" applyBorder="1" applyAlignment="1">
      <alignment horizontal="left" vertical="top" wrapText="1" indent="3"/>
    </xf>
    <xf numFmtId="0" fontId="51" fillId="0" borderId="0" xfId="43" applyFont="1" applyFill="1" applyBorder="1" applyAlignment="1">
      <alignment horizontal="right"/>
    </xf>
    <xf numFmtId="3" fontId="45" fillId="0" borderId="0" xfId="43" applyNumberFormat="1" applyFont="1" applyFill="1" applyBorder="1" applyAlignment="1">
      <alignment vertical="top"/>
    </xf>
    <xf numFmtId="3" fontId="46" fillId="0" borderId="0" xfId="43" applyNumberFormat="1" applyFont="1" applyFill="1" applyBorder="1" applyAlignment="1">
      <alignment vertical="top"/>
    </xf>
    <xf numFmtId="3" fontId="47" fillId="0" borderId="0" xfId="43" applyNumberFormat="1" applyFont="1" applyFill="1" applyBorder="1" applyAlignment="1">
      <alignment vertical="top" wrapText="1"/>
    </xf>
    <xf numFmtId="3" fontId="47" fillId="0" borderId="0" xfId="43" applyNumberFormat="1" applyFont="1" applyFill="1" applyBorder="1" applyAlignment="1">
      <alignment vertical="top"/>
    </xf>
    <xf numFmtId="3" fontId="46" fillId="0" borderId="0" xfId="43" applyNumberFormat="1" applyFont="1" applyFill="1" applyBorder="1" applyAlignment="1">
      <alignment vertical="top" wrapText="1"/>
    </xf>
    <xf numFmtId="3" fontId="46" fillId="0" borderId="0" xfId="43" applyNumberFormat="1" applyFont="1" applyFill="1" applyAlignment="1">
      <alignment vertical="top"/>
    </xf>
    <xf numFmtId="3" fontId="57" fillId="0" borderId="0" xfId="43" applyNumberFormat="1" applyFont="1" applyFill="1" applyBorder="1" applyAlignment="1">
      <alignment vertical="top" wrapText="1"/>
    </xf>
    <xf numFmtId="3" fontId="57" fillId="0" borderId="0" xfId="43" applyNumberFormat="1" applyFont="1" applyFill="1" applyBorder="1" applyAlignment="1">
      <alignment vertical="top"/>
    </xf>
    <xf numFmtId="3" fontId="46" fillId="0" borderId="0" xfId="43" applyNumberFormat="1" applyFont="1" applyFill="1" applyAlignment="1"/>
    <xf numFmtId="3" fontId="51" fillId="0" borderId="0" xfId="43" applyNumberFormat="1" applyFont="1" applyFill="1" applyBorder="1" applyAlignment="1"/>
    <xf numFmtId="0" fontId="82" fillId="0" borderId="0" xfId="36" applyNumberFormat="1" applyFont="1" applyFill="1" applyBorder="1" applyAlignment="1" applyProtection="1">
      <alignment horizontal="left" vertical="top"/>
    </xf>
    <xf numFmtId="0" fontId="83" fillId="0" borderId="0" xfId="36" applyNumberFormat="1" applyFont="1" applyFill="1" applyBorder="1" applyAlignment="1" applyProtection="1">
      <alignment horizontal="left" vertical="top"/>
    </xf>
    <xf numFmtId="0" fontId="50" fillId="0" borderId="0" xfId="36" applyNumberFormat="1" applyFont="1" applyFill="1" applyBorder="1" applyAlignment="1" applyProtection="1">
      <alignment horizontal="left" vertical="top" indent="1"/>
    </xf>
    <xf numFmtId="0" fontId="50" fillId="0" borderId="0" xfId="36" applyNumberFormat="1" applyFont="1" applyFill="1" applyBorder="1" applyAlignment="1" applyProtection="1">
      <alignment horizontal="left" vertical="top" wrapText="1" indent="2"/>
    </xf>
    <xf numFmtId="0" fontId="35" fillId="0" borderId="0" xfId="36" applyNumberFormat="1" applyFont="1" applyFill="1" applyBorder="1" applyAlignment="1" applyProtection="1">
      <alignment horizontal="left" vertical="top" indent="2"/>
    </xf>
    <xf numFmtId="3" fontId="34" fillId="0" borderId="0" xfId="148" applyNumberFormat="1" applyFont="1"/>
    <xf numFmtId="3" fontId="13" fillId="0" borderId="0" xfId="148" applyNumberFormat="1" applyFont="1"/>
    <xf numFmtId="0" fontId="34" fillId="0" borderId="0" xfId="37" applyNumberFormat="1" applyFont="1" applyFill="1" applyBorder="1" applyAlignment="1">
      <alignment horizontal="left" vertical="top"/>
    </xf>
    <xf numFmtId="0" fontId="34" fillId="0" borderId="0" xfId="37" applyNumberFormat="1" applyFont="1" applyFill="1" applyBorder="1" applyAlignment="1">
      <alignment horizontal="left" vertical="top" indent="2"/>
    </xf>
    <xf numFmtId="0" fontId="13" fillId="0" borderId="0" xfId="37" applyNumberFormat="1" applyFont="1" applyFill="1" applyBorder="1" applyAlignment="1">
      <alignment horizontal="left" vertical="top" wrapText="1" indent="4"/>
    </xf>
    <xf numFmtId="0" fontId="44" fillId="0" borderId="0" xfId="37" applyNumberFormat="1" applyFont="1" applyFill="1" applyBorder="1" applyAlignment="1">
      <alignment horizontal="left" vertical="top" wrapText="1" indent="1"/>
    </xf>
    <xf numFmtId="49" fontId="44" fillId="0" borderId="0" xfId="37" applyNumberFormat="1" applyFont="1" applyFill="1" applyBorder="1" applyAlignment="1">
      <alignment horizontal="left" wrapText="1" indent="1"/>
    </xf>
    <xf numFmtId="0" fontId="41" fillId="0" borderId="0" xfId="0" applyNumberFormat="1" applyFont="1" applyFill="1" applyAlignment="1">
      <alignment horizontal="left" vertical="top" indent="1"/>
    </xf>
    <xf numFmtId="0" fontId="50" fillId="0" borderId="0" xfId="36" applyNumberFormat="1" applyFont="1" applyFill="1" applyBorder="1" applyAlignment="1" applyProtection="1">
      <alignment horizontal="left" vertical="top" indent="2"/>
    </xf>
    <xf numFmtId="0" fontId="41" fillId="0" borderId="0" xfId="0" applyNumberFormat="1" applyFont="1" applyFill="1" applyAlignment="1">
      <alignment horizontal="left" vertical="top" wrapText="1" indent="1"/>
    </xf>
    <xf numFmtId="0" fontId="42" fillId="0" borderId="0" xfId="36" applyNumberFormat="1" applyFont="1" applyFill="1" applyBorder="1" applyAlignment="1" applyProtection="1">
      <alignment horizontal="left" vertical="top"/>
    </xf>
    <xf numFmtId="0" fontId="39" fillId="0" borderId="0" xfId="36" applyNumberFormat="1" applyFont="1" applyFill="1" applyBorder="1" applyAlignment="1" applyProtection="1">
      <alignment horizontal="left" vertical="top"/>
    </xf>
    <xf numFmtId="0" fontId="34" fillId="0" borderId="0" xfId="36" applyNumberFormat="1" applyFont="1" applyFill="1" applyBorder="1" applyAlignment="1" applyProtection="1">
      <alignment horizontal="left" vertical="top"/>
    </xf>
    <xf numFmtId="0" fontId="35" fillId="0" borderId="0" xfId="36" applyFont="1" applyFill="1" applyBorder="1" applyAlignment="1" applyProtection="1">
      <alignment horizontal="left" vertical="top" indent="1"/>
    </xf>
    <xf numFmtId="0" fontId="34" fillId="0" borderId="0" xfId="36" applyFont="1" applyFill="1" applyBorder="1" applyAlignment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 indent="1"/>
    </xf>
    <xf numFmtId="0" fontId="39" fillId="0" borderId="0" xfId="0" applyNumberFormat="1" applyFont="1" applyFill="1" applyAlignment="1">
      <alignment horizontal="left" vertical="top"/>
    </xf>
    <xf numFmtId="0" fontId="50" fillId="0" borderId="0" xfId="36" applyNumberFormat="1" applyFont="1" applyFill="1" applyBorder="1" applyAlignment="1" applyProtection="1">
      <alignment horizontal="left" vertical="top" indent="3"/>
    </xf>
    <xf numFmtId="0" fontId="32" fillId="0" borderId="0" xfId="36" applyNumberFormat="1" applyFont="1" applyFill="1" applyBorder="1" applyAlignment="1" applyProtection="1">
      <alignment horizontal="left" vertical="top" indent="2"/>
    </xf>
    <xf numFmtId="0" fontId="43" fillId="0" borderId="0" xfId="37" applyNumberFormat="1" applyFont="1" applyFill="1" applyBorder="1" applyAlignment="1">
      <alignment horizontal="left" vertical="top"/>
    </xf>
    <xf numFmtId="0" fontId="32" fillId="0" borderId="0" xfId="36" applyNumberFormat="1" applyFont="1" applyFill="1" applyBorder="1" applyAlignment="1" applyProtection="1">
      <alignment horizontal="left" vertical="top" indent="3"/>
    </xf>
    <xf numFmtId="0" fontId="34" fillId="0" borderId="0" xfId="0" applyNumberFormat="1" applyFont="1" applyFill="1" applyAlignment="1">
      <alignment horizontal="left" vertical="top" indent="2"/>
    </xf>
    <xf numFmtId="0" fontId="13" fillId="0" borderId="0" xfId="31" applyNumberFormat="1" applyFont="1" applyFill="1" applyBorder="1" applyAlignment="1" applyProtection="1">
      <alignment horizontal="left" vertical="top" wrapText="1" indent="2"/>
    </xf>
    <xf numFmtId="0" fontId="34" fillId="0" borderId="0" xfId="36" applyNumberFormat="1" applyFont="1" applyFill="1" applyBorder="1" applyAlignment="1">
      <alignment horizontal="left" vertical="top"/>
    </xf>
    <xf numFmtId="0" fontId="13" fillId="0" borderId="0" xfId="0" applyNumberFormat="1" applyFont="1" applyFill="1" applyAlignment="1">
      <alignment horizontal="left" vertical="top"/>
    </xf>
    <xf numFmtId="0" fontId="35" fillId="0" borderId="0" xfId="0" applyNumberFormat="1" applyFont="1" applyFill="1" applyAlignment="1">
      <alignment horizontal="left" indent="1"/>
    </xf>
    <xf numFmtId="0" fontId="44" fillId="0" borderId="0" xfId="31" quotePrefix="1" applyNumberFormat="1" applyFont="1" applyFill="1" applyBorder="1" applyAlignment="1" applyProtection="1">
      <alignment horizontal="left" vertical="top" wrapText="1" indent="1"/>
    </xf>
    <xf numFmtId="0" fontId="13" fillId="0" borderId="0" xfId="31" applyNumberFormat="1" applyFont="1" applyFill="1" applyBorder="1" applyAlignment="1" applyProtection="1">
      <alignment horizontal="left" vertical="top" wrapText="1"/>
    </xf>
    <xf numFmtId="49" fontId="44" fillId="0" borderId="0" xfId="31" quotePrefix="1" applyNumberFormat="1" applyFont="1" applyFill="1" applyBorder="1" applyAlignment="1" applyProtection="1">
      <alignment horizontal="left" vertical="top" wrapText="1" indent="1"/>
    </xf>
    <xf numFmtId="0" fontId="50" fillId="0" borderId="0" xfId="36" applyNumberFormat="1" applyFont="1" applyFill="1" applyBorder="1" applyAlignment="1" applyProtection="1">
      <alignment horizontal="left" vertical="top" indent="4"/>
    </xf>
    <xf numFmtId="0" fontId="44" fillId="0" borderId="0" xfId="0" applyNumberFormat="1" applyFont="1" applyFill="1" applyAlignment="1">
      <alignment horizontal="left" wrapText="1" indent="3"/>
    </xf>
    <xf numFmtId="0" fontId="44" fillId="0" borderId="0" xfId="0" quotePrefix="1" applyNumberFormat="1" applyFont="1" applyFill="1" applyAlignment="1">
      <alignment horizontal="left" wrapText="1" indent="1"/>
    </xf>
    <xf numFmtId="49" fontId="44" fillId="0" borderId="0" xfId="0" quotePrefix="1" applyNumberFormat="1" applyFont="1" applyFill="1" applyAlignment="1">
      <alignment horizontal="left" indent="1"/>
    </xf>
    <xf numFmtId="0" fontId="32" fillId="0" borderId="0" xfId="31" applyNumberFormat="1" applyFont="1" applyFill="1" applyBorder="1" applyAlignment="1" applyProtection="1">
      <alignment horizontal="left" vertical="top" wrapText="1" indent="3"/>
    </xf>
    <xf numFmtId="3" fontId="32" fillId="0" borderId="0" xfId="0" applyNumberFormat="1" applyFont="1" applyFill="1" applyAlignment="1">
      <alignment vertical="top"/>
    </xf>
    <xf numFmtId="0" fontId="13" fillId="0" borderId="0" xfId="31" applyNumberFormat="1" applyFont="1" applyFill="1" applyBorder="1" applyAlignment="1" applyProtection="1">
      <alignment horizontal="left" vertical="top" indent="2"/>
    </xf>
    <xf numFmtId="3" fontId="13" fillId="0" borderId="0" xfId="0" applyNumberFormat="1" applyFont="1" applyFill="1" applyAlignment="1">
      <alignment vertical="top"/>
    </xf>
    <xf numFmtId="0" fontId="13" fillId="0" borderId="0" xfId="0" applyNumberFormat="1" applyFont="1" applyFill="1" applyAlignment="1">
      <alignment horizontal="left" vertical="top" wrapText="1"/>
    </xf>
    <xf numFmtId="0" fontId="44" fillId="0" borderId="0" xfId="36" quotePrefix="1" applyNumberFormat="1" applyFont="1" applyFill="1" applyBorder="1" applyAlignment="1" applyProtection="1">
      <alignment horizontal="left" indent="1"/>
    </xf>
    <xf numFmtId="49" fontId="32" fillId="0" borderId="0" xfId="0" applyNumberFormat="1" applyFont="1" applyFill="1" applyAlignment="1">
      <alignment horizontal="left" vertical="top" indent="4"/>
    </xf>
    <xf numFmtId="0" fontId="44" fillId="0" borderId="0" xfId="36" applyNumberFormat="1" applyFont="1" applyFill="1" applyBorder="1" applyAlignment="1" applyProtection="1">
      <alignment horizontal="left" vertical="top" indent="1"/>
    </xf>
    <xf numFmtId="0" fontId="40" fillId="0" borderId="0" xfId="0" applyNumberFormat="1" applyFont="1" applyFill="1" applyAlignment="1">
      <alignment horizontal="left" vertical="top"/>
    </xf>
    <xf numFmtId="0" fontId="43" fillId="0" borderId="0" xfId="36" applyNumberFormat="1" applyFont="1" applyFill="1" applyBorder="1" applyAlignment="1" applyProtection="1">
      <alignment horizontal="left" vertical="top"/>
    </xf>
    <xf numFmtId="0" fontId="13" fillId="0" borderId="0" xfId="36" applyNumberFormat="1" applyFont="1" applyFill="1" applyBorder="1" applyAlignment="1" applyProtection="1">
      <alignment horizontal="left" vertical="top" indent="1"/>
    </xf>
    <xf numFmtId="0" fontId="32" fillId="0" borderId="0" xfId="0" applyNumberFormat="1" applyFont="1" applyFill="1" applyAlignment="1">
      <alignment horizontal="left" vertical="top" indent="2"/>
    </xf>
    <xf numFmtId="0" fontId="35" fillId="0" borderId="0" xfId="0" applyNumberFormat="1" applyFont="1" applyFill="1" applyAlignment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 indent="3"/>
    </xf>
    <xf numFmtId="0" fontId="32" fillId="0" borderId="0" xfId="36" applyNumberFormat="1" applyFont="1" applyFill="1" applyBorder="1" applyAlignment="1" applyProtection="1">
      <alignment horizontal="left" vertical="top" indent="4"/>
    </xf>
    <xf numFmtId="0" fontId="44" fillId="0" borderId="0" xfId="36" applyNumberFormat="1" applyFont="1" applyFill="1" applyBorder="1" applyAlignment="1" applyProtection="1">
      <alignment horizontal="left" vertical="top" wrapText="1" indent="1"/>
    </xf>
    <xf numFmtId="0" fontId="32" fillId="0" borderId="0" xfId="36" applyNumberFormat="1" applyFont="1" applyFill="1" applyBorder="1" applyAlignment="1" applyProtection="1">
      <alignment horizontal="left" vertical="top" wrapText="1" indent="2"/>
    </xf>
    <xf numFmtId="0" fontId="32" fillId="0" borderId="0" xfId="0" applyFont="1" applyFill="1" applyBorder="1" applyAlignment="1">
      <alignment horizontal="left" indent="2"/>
    </xf>
    <xf numFmtId="0" fontId="40" fillId="0" borderId="0" xfId="36" applyNumberFormat="1" applyFont="1" applyFill="1" applyBorder="1" applyAlignment="1" applyProtection="1">
      <alignment horizontal="left" vertical="top"/>
    </xf>
    <xf numFmtId="0" fontId="32" fillId="0" borderId="0" xfId="36" applyNumberFormat="1" applyFont="1" applyFill="1" applyBorder="1" applyAlignment="1" applyProtection="1">
      <alignment horizontal="left" vertical="top" indent="1"/>
    </xf>
    <xf numFmtId="0" fontId="43" fillId="0" borderId="0" xfId="36" applyNumberFormat="1" applyFont="1" applyFill="1" applyBorder="1" applyAlignment="1" applyProtection="1">
      <alignment horizontal="left" vertical="top" wrapText="1"/>
    </xf>
    <xf numFmtId="0" fontId="43" fillId="0" borderId="0" xfId="36" applyFont="1" applyFill="1" applyBorder="1" applyAlignment="1" applyProtection="1">
      <alignment horizontal="left" vertical="top" wrapText="1"/>
    </xf>
    <xf numFmtId="0" fontId="41" fillId="0" borderId="0" xfId="36" applyNumberFormat="1" applyFont="1" applyFill="1" applyBorder="1" applyAlignment="1" applyProtection="1">
      <alignment horizontal="left" vertical="top" indent="1"/>
    </xf>
    <xf numFmtId="49" fontId="44" fillId="0" borderId="0" xfId="0" quotePrefix="1" applyNumberFormat="1" applyFont="1" applyFill="1" applyAlignment="1">
      <alignment horizontal="left" wrapText="1" indent="1"/>
    </xf>
    <xf numFmtId="0" fontId="32" fillId="0" borderId="0" xfId="37" applyNumberFormat="1" applyFont="1" applyFill="1" applyBorder="1" applyAlignment="1">
      <alignment horizontal="left" vertical="top" indent="1"/>
    </xf>
    <xf numFmtId="0" fontId="35" fillId="0" borderId="0" xfId="36" applyNumberFormat="1" applyFont="1" applyFill="1" applyBorder="1" applyAlignment="1" applyProtection="1">
      <alignment horizontal="left" vertical="top"/>
    </xf>
    <xf numFmtId="0" fontId="43" fillId="0" borderId="0" xfId="0" applyNumberFormat="1" applyFont="1" applyFill="1" applyAlignment="1">
      <alignment horizontal="left" vertical="top"/>
    </xf>
    <xf numFmtId="0" fontId="42" fillId="0" borderId="0" xfId="36" applyNumberFormat="1" applyFont="1" applyFill="1" applyBorder="1" applyAlignment="1">
      <alignment horizontal="left" vertical="top"/>
    </xf>
    <xf numFmtId="0" fontId="42" fillId="0" borderId="0" xfId="36" applyFont="1" applyFill="1" applyBorder="1" applyAlignment="1" applyProtection="1">
      <alignment horizontal="left" vertical="top"/>
    </xf>
    <xf numFmtId="0" fontId="34" fillId="0" borderId="0" xfId="36" applyFont="1" applyFill="1" applyBorder="1" applyAlignment="1" applyProtection="1">
      <alignment horizontal="left" vertical="top"/>
    </xf>
    <xf numFmtId="0" fontId="35" fillId="0" borderId="0" xfId="36" applyFont="1" applyFill="1" applyBorder="1" applyAlignment="1" applyProtection="1">
      <alignment horizontal="left" vertical="top" indent="2"/>
    </xf>
    <xf numFmtId="49" fontId="42" fillId="0" borderId="0" xfId="36" applyNumberFormat="1" applyFont="1" applyFill="1" applyBorder="1" applyAlignment="1">
      <alignment horizontal="left" vertical="top"/>
    </xf>
    <xf numFmtId="0" fontId="43" fillId="0" borderId="0" xfId="37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/>
    </xf>
    <xf numFmtId="0" fontId="50" fillId="0" borderId="0" xfId="36" applyNumberFormat="1" applyFont="1" applyFill="1" applyBorder="1" applyAlignment="1" applyProtection="1">
      <alignment horizontal="left" vertical="top" wrapText="1" indent="1"/>
    </xf>
    <xf numFmtId="0" fontId="32" fillId="0" borderId="0" xfId="35" applyNumberFormat="1" applyFont="1" applyFill="1" applyBorder="1" applyAlignment="1" applyProtection="1">
      <alignment horizontal="left" vertical="top" wrapText="1" indent="4"/>
    </xf>
    <xf numFmtId="0" fontId="50" fillId="0" borderId="0" xfId="36" applyNumberFormat="1" applyFont="1" applyFill="1" applyBorder="1" applyAlignment="1" applyProtection="1">
      <alignment horizontal="left" vertical="top" wrapText="1" indent="3"/>
    </xf>
    <xf numFmtId="0" fontId="42" fillId="0" borderId="0" xfId="36" applyNumberFormat="1" applyFont="1" applyFill="1" applyBorder="1" applyAlignment="1" applyProtection="1">
      <alignment horizontal="left" vertical="top" wrapText="1"/>
    </xf>
    <xf numFmtId="0" fontId="34" fillId="0" borderId="0" xfId="36" applyNumberFormat="1" applyFont="1" applyFill="1" applyBorder="1" applyAlignment="1" applyProtection="1">
      <alignment horizontal="left" vertical="top" wrapText="1"/>
    </xf>
    <xf numFmtId="0" fontId="35" fillId="0" borderId="0" xfId="36" applyFont="1" applyFill="1" applyBorder="1" applyAlignment="1" applyProtection="1">
      <alignment horizontal="left" vertical="top" wrapText="1" indent="1"/>
    </xf>
    <xf numFmtId="0" fontId="34" fillId="0" borderId="0" xfId="36" applyNumberFormat="1" applyFont="1" applyFill="1" applyBorder="1" applyAlignment="1">
      <alignment horizontal="left" vertical="top" wrapText="1"/>
    </xf>
    <xf numFmtId="0" fontId="35" fillId="0" borderId="0" xfId="36" applyNumberFormat="1" applyFont="1" applyFill="1" applyBorder="1" applyAlignment="1" applyProtection="1">
      <alignment horizontal="left" vertical="top" wrapText="1" indent="1"/>
    </xf>
    <xf numFmtId="0" fontId="35" fillId="0" borderId="0" xfId="36" applyNumberFormat="1" applyFont="1" applyFill="1" applyBorder="1" applyAlignment="1" applyProtection="1">
      <alignment horizontal="left" vertical="top" wrapText="1" indent="2"/>
    </xf>
    <xf numFmtId="0" fontId="35" fillId="0" borderId="0" xfId="36" applyNumberFormat="1" applyFont="1" applyFill="1" applyBorder="1" applyAlignment="1" applyProtection="1">
      <alignment horizontal="left" vertical="top" wrapText="1" indent="3"/>
    </xf>
    <xf numFmtId="0" fontId="39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horizontal="left" vertical="top" wrapText="1" indent="1"/>
    </xf>
    <xf numFmtId="0" fontId="34" fillId="0" borderId="0" xfId="0" applyNumberFormat="1" applyFont="1" applyFill="1" applyBorder="1" applyAlignment="1">
      <alignment horizontal="left" vertical="top" wrapText="1" indent="2"/>
    </xf>
    <xf numFmtId="0" fontId="32" fillId="0" borderId="0" xfId="0" applyFont="1" applyFill="1"/>
    <xf numFmtId="0" fontId="44" fillId="0" borderId="0" xfId="37" quotePrefix="1" applyNumberFormat="1" applyFont="1" applyFill="1" applyBorder="1" applyAlignment="1">
      <alignment horizontal="left" wrapText="1" indent="1"/>
    </xf>
    <xf numFmtId="0" fontId="44" fillId="0" borderId="0" xfId="37" applyNumberFormat="1" applyFont="1" applyFill="1" applyBorder="1" applyAlignment="1">
      <alignment horizontal="left" wrapText="1"/>
    </xf>
    <xf numFmtId="0" fontId="50" fillId="0" borderId="0" xfId="36" applyNumberFormat="1" applyFont="1" applyFill="1" applyBorder="1" applyAlignment="1" applyProtection="1">
      <alignment horizontal="left" wrapText="1" indent="1"/>
    </xf>
    <xf numFmtId="0" fontId="32" fillId="0" borderId="0" xfId="36" applyNumberFormat="1" applyFont="1" applyFill="1" applyBorder="1" applyAlignment="1">
      <alignment horizontal="left" vertical="top" wrapText="1" indent="2"/>
    </xf>
    <xf numFmtId="0" fontId="34" fillId="0" borderId="0" xfId="37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vertical="top"/>
    </xf>
    <xf numFmtId="0" fontId="35" fillId="0" borderId="0" xfId="36" applyNumberFormat="1" applyFont="1" applyFill="1" applyBorder="1" applyAlignment="1" applyProtection="1">
      <alignment horizontal="left" vertical="top" indent="3"/>
    </xf>
    <xf numFmtId="0" fontId="44" fillId="0" borderId="0" xfId="37" quotePrefix="1" applyNumberFormat="1" applyFont="1" applyFill="1" applyBorder="1" applyAlignment="1">
      <alignment horizontal="left" vertical="top" wrapText="1" indent="1"/>
    </xf>
    <xf numFmtId="0" fontId="13" fillId="0" borderId="0" xfId="31" applyNumberFormat="1" applyFont="1" applyFill="1" applyBorder="1" applyAlignment="1" applyProtection="1">
      <alignment horizontal="left" vertical="top" wrapText="1" indent="3"/>
    </xf>
    <xf numFmtId="0" fontId="39" fillId="0" borderId="0" xfId="37" applyNumberFormat="1" applyFont="1" applyFill="1" applyBorder="1" applyAlignment="1">
      <alignment horizontal="left" vertical="top"/>
    </xf>
    <xf numFmtId="0" fontId="34" fillId="0" borderId="0" xfId="0" applyNumberFormat="1" applyFont="1" applyFill="1" applyAlignment="1">
      <alignment horizontal="left" vertical="top" wrapText="1" indent="2"/>
    </xf>
    <xf numFmtId="0" fontId="41" fillId="0" borderId="0" xfId="36" applyNumberFormat="1" applyFont="1" applyFill="1" applyBorder="1" applyAlignment="1" applyProtection="1">
      <alignment horizontal="left" vertical="top" wrapText="1" indent="1"/>
    </xf>
    <xf numFmtId="0" fontId="34" fillId="0" borderId="0" xfId="36" applyNumberFormat="1" applyFont="1" applyFill="1" applyBorder="1" applyAlignment="1" applyProtection="1">
      <alignment horizontal="left" vertical="top" indent="2"/>
    </xf>
    <xf numFmtId="0" fontId="13" fillId="0" borderId="0" xfId="36" applyNumberFormat="1" applyFont="1" applyFill="1" applyBorder="1" applyAlignment="1" applyProtection="1">
      <alignment horizontal="left" vertical="top" indent="2"/>
    </xf>
    <xf numFmtId="0" fontId="43" fillId="0" borderId="0" xfId="36" applyNumberFormat="1" applyFont="1" applyFill="1" applyBorder="1" applyAlignment="1">
      <alignment horizontal="left" vertical="top" wrapText="1"/>
    </xf>
    <xf numFmtId="0" fontId="32" fillId="0" borderId="0" xfId="37" applyFont="1" applyFill="1" applyBorder="1" applyAlignment="1">
      <alignment horizontal="left" vertical="top" wrapText="1" indent="3"/>
    </xf>
    <xf numFmtId="0" fontId="44" fillId="0" borderId="0" xfId="36" applyNumberFormat="1" applyFont="1" applyFill="1" applyBorder="1" applyAlignment="1" applyProtection="1">
      <alignment horizontal="left" vertical="top" wrapText="1" indent="4"/>
    </xf>
    <xf numFmtId="0" fontId="39" fillId="0" borderId="0" xfId="0" applyNumberFormat="1" applyFont="1" applyFill="1" applyAlignment="1">
      <alignment horizontal="left" vertical="top" wrapText="1"/>
    </xf>
    <xf numFmtId="0" fontId="34" fillId="0" borderId="0" xfId="36" applyNumberFormat="1" applyFont="1" applyFill="1" applyBorder="1" applyAlignment="1" applyProtection="1">
      <alignment horizontal="left"/>
    </xf>
    <xf numFmtId="0" fontId="32" fillId="0" borderId="0" xfId="36" applyNumberFormat="1" applyFont="1" applyFill="1" applyBorder="1" applyAlignment="1" applyProtection="1">
      <alignment horizontal="left" vertical="top"/>
    </xf>
    <xf numFmtId="0" fontId="32" fillId="0" borderId="0" xfId="35" applyNumberFormat="1" applyFont="1" applyFill="1" applyBorder="1" applyAlignment="1" applyProtection="1">
      <alignment horizontal="left" vertical="top"/>
    </xf>
    <xf numFmtId="3" fontId="42" fillId="0" borderId="0" xfId="36" applyNumberFormat="1" applyFont="1" applyFill="1" applyBorder="1" applyAlignment="1" applyProtection="1">
      <alignment vertical="top"/>
    </xf>
    <xf numFmtId="3" fontId="34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vertical="top"/>
    </xf>
    <xf numFmtId="3" fontId="34" fillId="0" borderId="0" xfId="36" applyNumberFormat="1" applyFont="1" applyFill="1" applyBorder="1" applyAlignment="1">
      <alignment vertical="top"/>
    </xf>
    <xf numFmtId="3" fontId="13" fillId="0" borderId="0" xfId="36" applyNumberFormat="1" applyFont="1" applyFill="1" applyBorder="1" applyAlignment="1" applyProtection="1">
      <alignment vertical="top"/>
    </xf>
    <xf numFmtId="3" fontId="50" fillId="0" borderId="0" xfId="36" applyNumberFormat="1" applyFont="1" applyFill="1" applyBorder="1" applyAlignment="1" applyProtection="1">
      <alignment vertical="top"/>
    </xf>
    <xf numFmtId="3" fontId="13" fillId="0" borderId="0" xfId="37" applyNumberFormat="1" applyFont="1" applyFill="1" applyBorder="1" applyAlignment="1">
      <alignment vertical="top"/>
    </xf>
    <xf numFmtId="3" fontId="80" fillId="0" borderId="0" xfId="36" applyNumberFormat="1" applyFont="1" applyFill="1" applyBorder="1" applyAlignment="1" applyProtection="1">
      <alignment vertical="top"/>
    </xf>
    <xf numFmtId="3" fontId="42" fillId="0" borderId="0" xfId="36" applyNumberFormat="1" applyFont="1" applyFill="1" applyBorder="1" applyAlignment="1">
      <alignment vertical="top"/>
    </xf>
    <xf numFmtId="3" fontId="34" fillId="0" borderId="0" xfId="37" applyNumberFormat="1" applyFont="1" applyFill="1" applyBorder="1" applyAlignment="1">
      <alignment vertical="top"/>
    </xf>
    <xf numFmtId="3" fontId="13" fillId="0" borderId="0" xfId="37" applyNumberFormat="1" applyFont="1" applyFill="1" applyBorder="1" applyAlignment="1">
      <alignment vertical="top" wrapText="1"/>
    </xf>
    <xf numFmtId="3" fontId="50" fillId="0" borderId="0" xfId="36" applyNumberFormat="1" applyFont="1" applyFill="1" applyBorder="1" applyAlignment="1" applyProtection="1">
      <alignment vertical="top" wrapText="1"/>
    </xf>
    <xf numFmtId="3" fontId="44" fillId="0" borderId="0" xfId="36" applyNumberFormat="1" applyFont="1" applyFill="1" applyBorder="1" applyAlignment="1" applyProtection="1">
      <alignment vertical="top"/>
    </xf>
    <xf numFmtId="3" fontId="32" fillId="0" borderId="0" xfId="36" applyNumberFormat="1" applyFont="1" applyFill="1" applyBorder="1" applyAlignment="1" applyProtection="1">
      <alignment vertical="top"/>
    </xf>
    <xf numFmtId="3" fontId="13" fillId="0" borderId="0" xfId="36" applyNumberFormat="1" applyFont="1" applyFill="1" applyBorder="1" applyAlignment="1" applyProtection="1">
      <alignment vertical="top" wrapText="1"/>
    </xf>
    <xf numFmtId="3" fontId="34" fillId="0" borderId="0" xfId="0" applyNumberFormat="1" applyFont="1" applyFill="1" applyAlignment="1">
      <alignment vertical="top"/>
    </xf>
    <xf numFmtId="3" fontId="44" fillId="0" borderId="0" xfId="0" quotePrefix="1" applyNumberFormat="1" applyFont="1" applyFill="1" applyAlignment="1"/>
    <xf numFmtId="3" fontId="82" fillId="0" borderId="0" xfId="36" applyNumberFormat="1" applyFont="1" applyFill="1" applyBorder="1" applyAlignment="1" applyProtection="1">
      <alignment vertical="top"/>
    </xf>
    <xf numFmtId="3" fontId="83" fillId="0" borderId="0" xfId="36" applyNumberFormat="1" applyFont="1" applyFill="1" applyBorder="1" applyAlignment="1" applyProtection="1">
      <alignment vertical="top"/>
    </xf>
    <xf numFmtId="3" fontId="44" fillId="0" borderId="0" xfId="37" applyNumberFormat="1" applyFont="1" applyFill="1" applyBorder="1" applyAlignment="1">
      <alignment wrapText="1"/>
    </xf>
    <xf numFmtId="3" fontId="44" fillId="0" borderId="0" xfId="37" applyNumberFormat="1" applyFont="1" applyFill="1" applyBorder="1" applyAlignment="1">
      <alignment vertical="top" wrapText="1"/>
    </xf>
    <xf numFmtId="3" fontId="39" fillId="0" borderId="0" xfId="36" applyNumberFormat="1" applyFont="1" applyFill="1" applyBorder="1" applyAlignment="1" applyProtection="1">
      <alignment vertical="top"/>
    </xf>
    <xf numFmtId="3" fontId="39" fillId="0" borderId="0" xfId="0" applyNumberFormat="1" applyFont="1" applyFill="1" applyAlignment="1">
      <alignment vertical="top"/>
    </xf>
    <xf numFmtId="3" fontId="34" fillId="0" borderId="0" xfId="0" applyNumberFormat="1" applyFont="1" applyFill="1" applyAlignment="1">
      <alignment vertical="top" wrapText="1"/>
    </xf>
    <xf numFmtId="3" fontId="32" fillId="0" borderId="0" xfId="36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 applyProtection="1"/>
    <xf numFmtId="3" fontId="13" fillId="0" borderId="0" xfId="31" applyNumberFormat="1" applyFont="1" applyFill="1" applyBorder="1" applyAlignment="1" applyProtection="1">
      <alignment vertical="top" wrapText="1"/>
    </xf>
    <xf numFmtId="3" fontId="44" fillId="0" borderId="0" xfId="0" quotePrefix="1" applyNumberFormat="1" applyFont="1" applyFill="1" applyAlignment="1">
      <alignment wrapText="1"/>
    </xf>
    <xf numFmtId="3" fontId="32" fillId="0" borderId="0" xfId="35" applyNumberFormat="1" applyFont="1" applyFill="1" applyBorder="1" applyAlignment="1" applyProtection="1">
      <alignment vertical="top" wrapText="1"/>
    </xf>
    <xf numFmtId="3" fontId="44" fillId="0" borderId="0" xfId="37" quotePrefix="1" applyNumberFormat="1" applyFont="1" applyFill="1" applyBorder="1" applyAlignment="1">
      <alignment wrapText="1"/>
    </xf>
    <xf numFmtId="3" fontId="77" fillId="0" borderId="0" xfId="0" applyNumberFormat="1" applyFont="1" applyFill="1" applyAlignment="1">
      <alignment vertical="top"/>
    </xf>
    <xf numFmtId="3" fontId="77" fillId="0" borderId="0" xfId="36" applyNumberFormat="1" applyFont="1" applyFill="1" applyBorder="1" applyAlignment="1">
      <alignment vertical="top"/>
    </xf>
    <xf numFmtId="3" fontId="44" fillId="0" borderId="0" xfId="31" quotePrefix="1" applyNumberFormat="1" applyFont="1" applyFill="1" applyBorder="1" applyAlignment="1" applyProtection="1">
      <alignment vertical="top" wrapText="1"/>
    </xf>
    <xf numFmtId="3" fontId="44" fillId="0" borderId="0" xfId="0" applyNumberFormat="1" applyFont="1" applyFill="1" applyAlignment="1">
      <alignment wrapText="1"/>
    </xf>
    <xf numFmtId="3" fontId="44" fillId="0" borderId="0" xfId="31" applyNumberFormat="1" applyFont="1" applyFill="1" applyBorder="1" applyAlignment="1" applyProtection="1">
      <alignment vertical="top" wrapText="1"/>
    </xf>
    <xf numFmtId="3" fontId="32" fillId="0" borderId="0" xfId="31" applyNumberFormat="1" applyFont="1" applyFill="1" applyBorder="1" applyAlignment="1" applyProtection="1">
      <alignment vertical="top" wrapText="1"/>
    </xf>
    <xf numFmtId="3" fontId="13" fillId="0" borderId="0" xfId="31" applyNumberFormat="1" applyFont="1" applyFill="1" applyBorder="1" applyAlignment="1" applyProtection="1">
      <alignment vertical="top"/>
    </xf>
    <xf numFmtId="3" fontId="13" fillId="0" borderId="0" xfId="0" applyNumberFormat="1" applyFont="1" applyFill="1" applyAlignment="1">
      <alignment vertical="top" wrapText="1"/>
    </xf>
    <xf numFmtId="3" fontId="44" fillId="0" borderId="0" xfId="36" quotePrefix="1" applyNumberFormat="1" applyFont="1" applyFill="1" applyBorder="1" applyAlignment="1" applyProtection="1"/>
    <xf numFmtId="3" fontId="44" fillId="0" borderId="0" xfId="36" applyNumberFormat="1" applyFont="1" applyFill="1" applyBorder="1" applyAlignment="1" applyProtection="1">
      <alignment vertical="top" wrapText="1"/>
    </xf>
    <xf numFmtId="3" fontId="32" fillId="0" borderId="0" xfId="0" applyNumberFormat="1" applyFont="1" applyFill="1" applyBorder="1" applyAlignment="1"/>
    <xf numFmtId="3" fontId="40" fillId="0" borderId="0" xfId="36" applyNumberFormat="1" applyFont="1" applyFill="1" applyBorder="1" applyAlignment="1" applyProtection="1">
      <alignment vertical="top"/>
    </xf>
    <xf numFmtId="3" fontId="77" fillId="0" borderId="0" xfId="36" applyNumberFormat="1" applyFont="1" applyFill="1" applyBorder="1" applyAlignment="1" applyProtection="1">
      <alignment vertical="top"/>
    </xf>
    <xf numFmtId="3" fontId="42" fillId="0" borderId="0" xfId="36" applyNumberFormat="1" applyFont="1" applyFill="1" applyBorder="1" applyAlignment="1" applyProtection="1">
      <alignment vertical="top" wrapText="1"/>
    </xf>
    <xf numFmtId="3" fontId="34" fillId="0" borderId="0" xfId="36" applyNumberFormat="1" applyFont="1" applyFill="1" applyBorder="1" applyAlignment="1" applyProtection="1">
      <alignment vertical="top" wrapText="1"/>
    </xf>
    <xf numFmtId="3" fontId="35" fillId="0" borderId="0" xfId="36" applyNumberFormat="1" applyFont="1" applyFill="1" applyBorder="1" applyAlignment="1" applyProtection="1">
      <alignment vertical="top" wrapText="1"/>
    </xf>
    <xf numFmtId="3" fontId="34" fillId="0" borderId="0" xfId="36" applyNumberFormat="1" applyFont="1" applyFill="1" applyBorder="1" applyAlignment="1">
      <alignment vertical="top" wrapText="1"/>
    </xf>
    <xf numFmtId="3" fontId="34" fillId="0" borderId="0" xfId="37" applyNumberFormat="1" applyFont="1" applyFill="1" applyBorder="1" applyAlignment="1">
      <alignment vertical="top" wrapText="1"/>
    </xf>
    <xf numFmtId="3" fontId="32" fillId="0" borderId="0" xfId="37" applyNumberFormat="1" applyFont="1" applyFill="1" applyBorder="1" applyAlignment="1">
      <alignment vertical="top"/>
    </xf>
    <xf numFmtId="3" fontId="77" fillId="0" borderId="0" xfId="37" applyNumberFormat="1" applyFont="1" applyFill="1" applyBorder="1" applyAlignment="1">
      <alignment vertical="top"/>
    </xf>
    <xf numFmtId="3" fontId="44" fillId="0" borderId="0" xfId="37" quotePrefix="1" applyNumberFormat="1" applyFont="1" applyFill="1" applyBorder="1" applyAlignment="1">
      <alignment vertical="top" wrapText="1"/>
    </xf>
    <xf numFmtId="3" fontId="81" fillId="0" borderId="0" xfId="37" quotePrefix="1" applyNumberFormat="1" applyFont="1" applyFill="1" applyBorder="1" applyAlignment="1">
      <alignment vertical="top" wrapText="1"/>
    </xf>
    <xf numFmtId="3" fontId="39" fillId="0" borderId="0" xfId="37" applyNumberFormat="1" applyFont="1" applyFill="1" applyBorder="1" applyAlignment="1">
      <alignment vertical="top"/>
    </xf>
    <xf numFmtId="3" fontId="13" fillId="0" borderId="0" xfId="36" applyNumberFormat="1" applyFont="1" applyFill="1" applyBorder="1" applyAlignment="1">
      <alignment vertical="top" wrapText="1"/>
    </xf>
    <xf numFmtId="3" fontId="32" fillId="0" borderId="0" xfId="37" applyNumberFormat="1" applyFont="1" applyFill="1" applyBorder="1" applyAlignment="1">
      <alignment vertical="top" wrapText="1"/>
    </xf>
    <xf numFmtId="3" fontId="39" fillId="0" borderId="0" xfId="0" applyNumberFormat="1" applyFont="1" applyFill="1" applyAlignment="1">
      <alignment vertical="top" wrapText="1"/>
    </xf>
    <xf numFmtId="3" fontId="34" fillId="0" borderId="0" xfId="36" applyNumberFormat="1" applyFont="1" applyFill="1" applyBorder="1" applyAlignment="1" applyProtection="1"/>
    <xf numFmtId="3" fontId="32" fillId="0" borderId="0" xfId="35" applyNumberFormat="1" applyFont="1" applyFill="1" applyBorder="1" applyAlignment="1" applyProtection="1">
      <alignment vertical="top"/>
    </xf>
    <xf numFmtId="3" fontId="77" fillId="0" borderId="0" xfId="0" applyNumberFormat="1" applyFont="1" applyFill="1" applyAlignment="1"/>
    <xf numFmtId="3" fontId="13" fillId="0" borderId="0" xfId="0" applyNumberFormat="1" applyFont="1" applyFill="1" applyBorder="1" applyAlignment="1"/>
    <xf numFmtId="0" fontId="52" fillId="0" borderId="0" xfId="50" applyFont="1" applyBorder="1" applyAlignment="1"/>
    <xf numFmtId="0" fontId="13" fillId="0" borderId="0" xfId="0" applyNumberFormat="1" applyFont="1" applyFill="1" applyAlignment="1">
      <alignment horizontal="left" vertical="top" indent="4"/>
    </xf>
    <xf numFmtId="0" fontId="43" fillId="0" borderId="0" xfId="0" applyFont="1" applyFill="1" applyAlignment="1">
      <alignment horizontal="left" indent="6"/>
    </xf>
    <xf numFmtId="0" fontId="35" fillId="0" borderId="0" xfId="0" applyFont="1" applyAlignment="1">
      <alignment horizontal="left" indent="7"/>
    </xf>
    <xf numFmtId="0" fontId="40" fillId="0" borderId="0" xfId="0" applyFont="1" applyFill="1" applyAlignment="1">
      <alignment horizontal="left" indent="4"/>
    </xf>
    <xf numFmtId="0" fontId="35" fillId="0" borderId="0" xfId="0" applyFont="1" applyFill="1" applyAlignment="1">
      <alignment horizontal="left" indent="7"/>
    </xf>
    <xf numFmtId="0" fontId="86" fillId="0" borderId="0" xfId="43" applyFont="1" applyFill="1" applyBorder="1" applyAlignment="1">
      <alignment horizontal="left" vertical="top" indent="3"/>
    </xf>
    <xf numFmtId="0" fontId="46" fillId="0" borderId="0" xfId="43" applyFont="1" applyFill="1" applyBorder="1"/>
    <xf numFmtId="0" fontId="47" fillId="0" borderId="0" xfId="49" applyFont="1" applyFill="1" applyBorder="1" applyAlignment="1">
      <alignment horizontal="left" vertical="top" indent="3"/>
    </xf>
    <xf numFmtId="3" fontId="86" fillId="0" borderId="0" xfId="43" applyNumberFormat="1" applyFont="1" applyFill="1" applyBorder="1" applyAlignment="1">
      <alignment vertical="top"/>
    </xf>
    <xf numFmtId="3" fontId="46" fillId="0" borderId="0" xfId="43" applyNumberFormat="1" applyFont="1" applyFill="1" applyBorder="1" applyAlignment="1"/>
    <xf numFmtId="3" fontId="47" fillId="0" borderId="0" xfId="49" applyNumberFormat="1" applyFont="1" applyFill="1" applyBorder="1" applyAlignment="1">
      <alignment vertical="top"/>
    </xf>
    <xf numFmtId="3" fontId="13" fillId="0" borderId="0" xfId="43" applyNumberFormat="1" applyFont="1" applyFill="1" applyBorder="1" applyAlignment="1">
      <alignment vertical="top"/>
    </xf>
    <xf numFmtId="0" fontId="47" fillId="0" borderId="0" xfId="43" applyFont="1" applyFill="1" applyBorder="1" applyAlignment="1">
      <alignment horizontal="left" vertical="center" indent="3"/>
    </xf>
    <xf numFmtId="3" fontId="47" fillId="0" borderId="0" xfId="43" applyNumberFormat="1" applyFont="1" applyFill="1" applyBorder="1" applyAlignment="1">
      <alignment vertical="center"/>
    </xf>
    <xf numFmtId="0" fontId="35" fillId="0" borderId="0" xfId="148" applyFont="1" applyFill="1" applyBorder="1" applyAlignment="1">
      <alignment horizontal="left" vertical="top" indent="3"/>
    </xf>
    <xf numFmtId="3" fontId="35" fillId="0" borderId="0" xfId="148" applyNumberFormat="1" applyFont="1" applyFill="1" applyBorder="1" applyAlignment="1">
      <alignment vertical="top"/>
    </xf>
    <xf numFmtId="0" fontId="46" fillId="0" borderId="0" xfId="43" applyFont="1" applyFill="1" applyBorder="1" applyAlignment="1">
      <alignment horizontal="left"/>
    </xf>
    <xf numFmtId="2" fontId="46" fillId="0" borderId="0" xfId="43" applyNumberFormat="1" applyFont="1" applyFill="1" applyBorder="1" applyAlignment="1">
      <alignment horizontal="left" vertical="top"/>
    </xf>
    <xf numFmtId="0" fontId="46" fillId="0" borderId="0" xfId="148" applyFont="1" applyFill="1" applyBorder="1" applyAlignment="1">
      <alignment horizontal="left" vertical="top"/>
    </xf>
    <xf numFmtId="0" fontId="47" fillId="0" borderId="0" xfId="148" applyFont="1" applyFill="1" applyBorder="1" applyAlignment="1">
      <alignment horizontal="left" vertical="top" wrapText="1" indent="3"/>
    </xf>
    <xf numFmtId="0" fontId="13" fillId="0" borderId="0" xfId="151" applyFont="1" applyFill="1" applyBorder="1" applyAlignment="1" applyProtection="1">
      <alignment horizontal="left" vertical="top" wrapText="1" indent="4"/>
      <protection locked="0"/>
    </xf>
    <xf numFmtId="0" fontId="52" fillId="0" borderId="0" xfId="151" applyFont="1" applyFill="1" applyBorder="1" applyAlignment="1" applyProtection="1">
      <alignment horizontal="left" vertical="top" wrapText="1"/>
      <protection locked="0"/>
    </xf>
    <xf numFmtId="0" fontId="52" fillId="0" borderId="0" xfId="50" applyFont="1" applyBorder="1" applyAlignment="1">
      <alignment vertical="top" wrapText="1"/>
    </xf>
    <xf numFmtId="0" fontId="50" fillId="0" borderId="0" xfId="36" applyFont="1" applyFill="1" applyBorder="1" applyAlignment="1" applyProtection="1">
      <alignment horizontal="left" vertical="top" indent="3"/>
    </xf>
    <xf numFmtId="0" fontId="50" fillId="0" borderId="0" xfId="36" applyFont="1" applyFill="1" applyBorder="1" applyAlignment="1" applyProtection="1">
      <alignment horizontal="left" vertical="top" indent="4"/>
    </xf>
    <xf numFmtId="0" fontId="87" fillId="0" borderId="0" xfId="37" applyNumberFormat="1" applyFont="1" applyFill="1" applyBorder="1" applyAlignment="1">
      <alignment horizontal="left" vertical="top"/>
    </xf>
    <xf numFmtId="0" fontId="88" fillId="0" borderId="0" xfId="36" applyNumberFormat="1" applyFont="1" applyFill="1" applyBorder="1" applyAlignment="1" applyProtection="1">
      <alignment horizontal="left" vertical="top" indent="1"/>
    </xf>
    <xf numFmtId="0" fontId="75" fillId="0" borderId="0" xfId="37" applyNumberFormat="1" applyFont="1" applyFill="1" applyBorder="1" applyAlignment="1">
      <alignment horizontal="left" vertical="top" indent="3"/>
    </xf>
    <xf numFmtId="3" fontId="75" fillId="0" borderId="0" xfId="37" applyNumberFormat="1" applyFont="1" applyFill="1" applyBorder="1" applyAlignment="1">
      <alignment vertical="top"/>
    </xf>
    <xf numFmtId="0" fontId="88" fillId="0" borderId="0" xfId="36" applyNumberFormat="1" applyFont="1" applyFill="1" applyBorder="1" applyAlignment="1" applyProtection="1">
      <alignment horizontal="left" vertical="top" indent="2"/>
    </xf>
    <xf numFmtId="0" fontId="88" fillId="0" borderId="0" xfId="36" applyNumberFormat="1" applyFont="1" applyFill="1" applyBorder="1" applyAlignment="1" applyProtection="1">
      <alignment horizontal="left" vertical="top" indent="3"/>
    </xf>
    <xf numFmtId="3" fontId="88" fillId="0" borderId="0" xfId="36" applyNumberFormat="1" applyFont="1" applyFill="1" applyBorder="1" applyAlignment="1" applyProtection="1">
      <alignment vertical="top"/>
    </xf>
    <xf numFmtId="0" fontId="87" fillId="0" borderId="0" xfId="36" applyNumberFormat="1" applyFont="1" applyFill="1" applyBorder="1" applyAlignment="1" applyProtection="1">
      <alignment horizontal="left" vertical="top"/>
    </xf>
    <xf numFmtId="3" fontId="75" fillId="0" borderId="0" xfId="36" applyNumberFormat="1" applyFont="1" applyFill="1" applyBorder="1" applyAlignment="1" applyProtection="1">
      <alignment vertical="top"/>
    </xf>
    <xf numFmtId="0" fontId="87" fillId="0" borderId="0" xfId="43" applyFont="1" applyFill="1" applyAlignment="1">
      <alignment vertical="top" wrapText="1"/>
    </xf>
    <xf numFmtId="0" fontId="34" fillId="0" borderId="0" xfId="43" applyFont="1" applyFill="1" applyAlignment="1">
      <alignment wrapText="1"/>
    </xf>
    <xf numFmtId="3" fontId="34" fillId="0" borderId="0" xfId="43" applyNumberFormat="1" applyFont="1" applyFill="1" applyAlignment="1">
      <alignment wrapText="1"/>
    </xf>
    <xf numFmtId="0" fontId="39" fillId="0" borderId="0" xfId="151" applyNumberFormat="1" applyFont="1" applyFill="1" applyAlignment="1">
      <alignment horizontal="left" vertical="top"/>
    </xf>
    <xf numFmtId="0" fontId="41" fillId="0" borderId="0" xfId="151" applyNumberFormat="1" applyFont="1" applyFill="1" applyAlignment="1">
      <alignment horizontal="left" vertical="top" indent="1"/>
    </xf>
    <xf numFmtId="0" fontId="41" fillId="0" borderId="0" xfId="151" applyNumberFormat="1" applyFont="1" applyFill="1" applyAlignment="1">
      <alignment horizontal="left" vertical="top" wrapText="1" indent="1"/>
    </xf>
    <xf numFmtId="0" fontId="41" fillId="0" borderId="0" xfId="37" applyNumberFormat="1" applyFont="1" applyFill="1" applyBorder="1" applyAlignment="1">
      <alignment horizontal="left" vertical="top"/>
    </xf>
    <xf numFmtId="3" fontId="83" fillId="0" borderId="0" xfId="0" applyNumberFormat="1" applyFont="1" applyFill="1" applyAlignment="1">
      <alignment vertical="top"/>
    </xf>
    <xf numFmtId="3" fontId="81" fillId="0" borderId="0" xfId="37" applyNumberFormat="1" applyFont="1" applyFill="1" applyBorder="1" applyAlignment="1">
      <alignment wrapText="1"/>
    </xf>
    <xf numFmtId="0" fontId="89" fillId="0" borderId="0" xfId="0" applyNumberFormat="1" applyFont="1" applyFill="1" applyAlignment="1">
      <alignment horizontal="left" vertical="top" indent="1"/>
    </xf>
    <xf numFmtId="3" fontId="81" fillId="0" borderId="0" xfId="37" applyNumberFormat="1" applyFont="1" applyFill="1" applyBorder="1" applyAlignment="1">
      <alignment vertical="top" wrapText="1"/>
    </xf>
    <xf numFmtId="0" fontId="32" fillId="0" borderId="0" xfId="36" applyNumberFormat="1" applyFont="1" applyFill="1" applyBorder="1" applyAlignment="1" applyProtection="1">
      <alignment horizontal="left" vertical="top" wrapText="1"/>
    </xf>
    <xf numFmtId="0" fontId="35" fillId="0" borderId="0" xfId="36" applyNumberFormat="1" applyFont="1" applyFill="1" applyBorder="1" applyAlignment="1" applyProtection="1">
      <alignment horizontal="left"/>
    </xf>
    <xf numFmtId="0" fontId="44" fillId="0" borderId="0" xfId="36" applyNumberFormat="1" applyFont="1" applyFill="1" applyBorder="1" applyAlignment="1" applyProtection="1">
      <alignment horizontal="left" vertical="top" indent="2"/>
    </xf>
    <xf numFmtId="0" fontId="44" fillId="0" borderId="0" xfId="36" applyNumberFormat="1" applyFont="1" applyFill="1" applyBorder="1" applyAlignment="1" applyProtection="1">
      <alignment horizontal="left" vertical="top" indent="4"/>
    </xf>
    <xf numFmtId="0" fontId="43" fillId="0" borderId="0" xfId="43" applyFont="1" applyFill="1" applyAlignment="1">
      <alignment vertical="top" wrapText="1"/>
    </xf>
    <xf numFmtId="3" fontId="90" fillId="0" borderId="0" xfId="37" applyNumberFormat="1" applyFont="1" applyFill="1" applyBorder="1" applyAlignment="1"/>
    <xf numFmtId="0" fontId="32" fillId="0" borderId="0" xfId="36" applyNumberFormat="1" applyFont="1" applyFill="1" applyBorder="1" applyAlignment="1" applyProtection="1">
      <alignment horizontal="left" vertical="top" wrapText="1" indent="3"/>
    </xf>
    <xf numFmtId="0" fontId="39" fillId="0" borderId="0" xfId="43" applyNumberFormat="1" applyFont="1" applyFill="1" applyAlignment="1">
      <alignment horizontal="left" vertical="top" wrapText="1"/>
    </xf>
    <xf numFmtId="0" fontId="41" fillId="0" borderId="0" xfId="43" applyNumberFormat="1" applyFont="1" applyFill="1" applyAlignment="1">
      <alignment horizontal="left" vertical="top" wrapText="1" indent="1"/>
    </xf>
    <xf numFmtId="0" fontId="34" fillId="0" borderId="0" xfId="43" applyNumberFormat="1" applyFont="1" applyFill="1" applyAlignment="1">
      <alignment horizontal="left" vertical="top" wrapText="1" indent="2"/>
    </xf>
    <xf numFmtId="16" fontId="46" fillId="0" borderId="0" xfId="43" applyNumberFormat="1" applyFont="1" applyFill="1" applyBorder="1" applyAlignment="1">
      <alignment horizontal="left" vertical="top"/>
    </xf>
    <xf numFmtId="3" fontId="39" fillId="0" borderId="0" xfId="0" applyNumberFormat="1" applyFont="1" applyFill="1" applyBorder="1" applyAlignment="1">
      <alignment vertical="top" wrapText="1"/>
    </xf>
    <xf numFmtId="3" fontId="34" fillId="0" borderId="0" xfId="0" applyNumberFormat="1" applyFont="1" applyFill="1" applyBorder="1" applyAlignment="1">
      <alignment vertical="top" wrapText="1"/>
    </xf>
    <xf numFmtId="3" fontId="32" fillId="0" borderId="0" xfId="0" applyNumberFormat="1" applyFont="1" applyFill="1" applyAlignment="1"/>
    <xf numFmtId="3" fontId="50" fillId="0" borderId="0" xfId="36" applyNumberFormat="1" applyFont="1" applyFill="1" applyBorder="1" applyAlignment="1" applyProtection="1">
      <alignment wrapText="1"/>
    </xf>
    <xf numFmtId="0" fontId="44" fillId="0" borderId="0" xfId="37" quotePrefix="1" applyNumberFormat="1" applyFont="1" applyFill="1" applyBorder="1" applyAlignment="1">
      <alignment horizontal="left" vertical="top" indent="1"/>
    </xf>
    <xf numFmtId="3" fontId="44" fillId="0" borderId="0" xfId="37" quotePrefix="1" applyNumberFormat="1" applyFont="1" applyFill="1" applyBorder="1" applyAlignment="1">
      <alignment vertical="top"/>
    </xf>
    <xf numFmtId="0" fontId="44" fillId="0" borderId="0" xfId="31" applyNumberFormat="1" applyFont="1" applyFill="1" applyBorder="1" applyAlignment="1" applyProtection="1">
      <alignment horizontal="left" vertical="top" wrapText="1" indent="1"/>
    </xf>
    <xf numFmtId="0" fontId="32" fillId="0" borderId="0" xfId="36" applyNumberFormat="1" applyFont="1" applyFill="1" applyAlignment="1">
      <alignment horizontal="left" vertical="top" wrapText="1" indent="2"/>
    </xf>
    <xf numFmtId="3" fontId="32" fillId="0" borderId="0" xfId="36" applyNumberFormat="1" applyFont="1" applyFill="1" applyAlignment="1">
      <alignment vertical="top" wrapText="1"/>
    </xf>
    <xf numFmtId="0" fontId="32" fillId="0" borderId="0" xfId="36" applyNumberFormat="1" applyFont="1" applyFill="1" applyAlignment="1">
      <alignment horizontal="left" vertical="top" indent="2"/>
    </xf>
    <xf numFmtId="3" fontId="32" fillId="0" borderId="0" xfId="36" applyNumberFormat="1" applyFont="1" applyFill="1" applyAlignment="1">
      <alignment vertical="top"/>
    </xf>
    <xf numFmtId="0" fontId="44" fillId="0" borderId="0" xfId="36" applyNumberFormat="1" applyFont="1" applyFill="1" applyBorder="1" applyAlignment="1" applyProtection="1">
      <alignment horizontal="left" vertical="top" wrapText="1" indent="2"/>
    </xf>
    <xf numFmtId="0" fontId="52" fillId="0" borderId="0" xfId="43" applyFont="1" applyFill="1" applyBorder="1" applyAlignment="1">
      <alignment wrapText="1"/>
    </xf>
    <xf numFmtId="3" fontId="52" fillId="0" borderId="0" xfId="43" applyNumberFormat="1" applyFont="1" applyFill="1" applyBorder="1" applyAlignment="1">
      <alignment wrapText="1"/>
    </xf>
    <xf numFmtId="0" fontId="32" fillId="0" borderId="0" xfId="36" applyNumberFormat="1" applyFont="1" applyFill="1" applyAlignment="1">
      <alignment horizontal="left" vertical="top" wrapText="1" indent="4"/>
    </xf>
    <xf numFmtId="0" fontId="39" fillId="0" borderId="0" xfId="36" applyNumberFormat="1" applyFont="1" applyFill="1" applyBorder="1" applyAlignment="1">
      <alignment horizontal="left" vertical="top"/>
    </xf>
    <xf numFmtId="3" fontId="39" fillId="0" borderId="0" xfId="36" applyNumberFormat="1" applyFont="1" applyFill="1" applyBorder="1" applyAlignment="1">
      <alignment vertical="top"/>
    </xf>
    <xf numFmtId="0" fontId="34" fillId="0" borderId="0" xfId="43" applyNumberFormat="1" applyFont="1" applyFill="1" applyAlignment="1">
      <alignment horizontal="left" vertical="top" indent="2"/>
    </xf>
    <xf numFmtId="3" fontId="34" fillId="0" borderId="0" xfId="43" applyNumberFormat="1" applyFont="1" applyFill="1" applyAlignment="1">
      <alignment vertical="top"/>
    </xf>
    <xf numFmtId="0" fontId="44" fillId="0" borderId="0" xfId="36" applyNumberFormat="1" applyFont="1" applyFill="1" applyBorder="1" applyAlignment="1" applyProtection="1">
      <alignment horizontal="left" vertical="top" indent="5"/>
    </xf>
    <xf numFmtId="0" fontId="13" fillId="0" borderId="0" xfId="43" applyFont="1" applyFill="1" applyBorder="1" applyAlignment="1">
      <alignment horizontal="left" vertical="top"/>
    </xf>
    <xf numFmtId="0" fontId="34" fillId="0" borderId="0" xfId="37" applyFont="1" applyFill="1" applyBorder="1" applyAlignment="1">
      <alignment horizontal="left" vertical="top"/>
    </xf>
    <xf numFmtId="0" fontId="44" fillId="0" borderId="0" xfId="36" applyFont="1" applyFill="1" applyBorder="1" applyAlignment="1" applyProtection="1">
      <alignment horizontal="left" vertical="top" indent="1"/>
    </xf>
    <xf numFmtId="0" fontId="13" fillId="0" borderId="0" xfId="148" applyFont="1" applyFill="1" applyBorder="1"/>
    <xf numFmtId="3" fontId="34" fillId="0" borderId="0" xfId="148" applyNumberFormat="1" applyFont="1" applyBorder="1"/>
    <xf numFmtId="3" fontId="13" fillId="0" borderId="0" xfId="148" applyNumberFormat="1" applyFont="1" applyBorder="1"/>
    <xf numFmtId="3" fontId="35" fillId="0" borderId="0" xfId="148" applyNumberFormat="1" applyFont="1" applyFill="1" applyBorder="1"/>
    <xf numFmtId="3" fontId="13" fillId="0" borderId="0" xfId="148" applyNumberFormat="1" applyFont="1" applyFill="1" applyBorder="1"/>
    <xf numFmtId="3" fontId="34" fillId="0" borderId="0" xfId="148" applyNumberFormat="1" applyFont="1" applyFill="1" applyBorder="1"/>
    <xf numFmtId="3" fontId="47" fillId="0" borderId="0" xfId="148" applyNumberFormat="1" applyFont="1" applyFill="1" applyBorder="1"/>
    <xf numFmtId="3" fontId="47" fillId="0" borderId="0" xfId="152" applyNumberFormat="1" applyFont="1" applyFill="1" applyBorder="1" applyAlignment="1" applyProtection="1">
      <alignment vertical="top"/>
      <protection locked="0"/>
    </xf>
    <xf numFmtId="0" fontId="52" fillId="0" borderId="0" xfId="0" applyFont="1" applyBorder="1" applyAlignment="1">
      <alignment wrapText="1"/>
    </xf>
    <xf numFmtId="0" fontId="52" fillId="0" borderId="0" xfId="148" applyFont="1" applyBorder="1" applyAlignment="1">
      <alignment wrapText="1"/>
    </xf>
    <xf numFmtId="0" fontId="13" fillId="0" borderId="0" xfId="43" applyFont="1" applyFill="1" applyBorder="1" applyAlignment="1" applyProtection="1">
      <alignment horizontal="left" vertical="top" indent="4"/>
      <protection locked="0"/>
    </xf>
    <xf numFmtId="3" fontId="50" fillId="0" borderId="0" xfId="31" applyNumberFormat="1" applyFont="1" applyFill="1" applyBorder="1" applyAlignment="1" applyProtection="1">
      <alignment vertical="top" wrapText="1"/>
    </xf>
    <xf numFmtId="3" fontId="50" fillId="0" borderId="0" xfId="37" applyNumberFormat="1" applyFont="1" applyFill="1" applyBorder="1" applyAlignment="1">
      <alignment vertical="top"/>
    </xf>
    <xf numFmtId="3" fontId="91" fillId="0" borderId="0" xfId="0" applyNumberFormat="1" applyFont="1" applyFill="1" applyAlignment="1">
      <alignment vertical="top"/>
    </xf>
    <xf numFmtId="0" fontId="35" fillId="0" borderId="0" xfId="0" applyFont="1" applyFill="1"/>
    <xf numFmtId="3" fontId="34" fillId="0" borderId="0" xfId="37" applyNumberFormat="1" applyFont="1" applyFill="1" applyBorder="1" applyAlignment="1">
      <alignment wrapText="1"/>
    </xf>
    <xf numFmtId="3" fontId="13" fillId="0" borderId="0" xfId="37" applyNumberFormat="1" applyFont="1" applyFill="1" applyBorder="1" applyAlignment="1">
      <alignment wrapText="1"/>
    </xf>
    <xf numFmtId="3" fontId="50" fillId="0" borderId="0" xfId="37" applyNumberFormat="1" applyFont="1" applyFill="1" applyBorder="1" applyAlignment="1">
      <alignment wrapText="1"/>
    </xf>
    <xf numFmtId="3" fontId="32" fillId="0" borderId="0" xfId="37" applyNumberFormat="1" applyFont="1" applyFill="1" applyBorder="1" applyAlignment="1"/>
    <xf numFmtId="0" fontId="52" fillId="0" borderId="0" xfId="151" applyFont="1" applyFill="1" applyBorder="1" applyAlignment="1">
      <alignment horizontal="left"/>
    </xf>
    <xf numFmtId="0" fontId="43" fillId="0" borderId="0" xfId="36" applyFont="1" applyFill="1" applyBorder="1" applyAlignment="1" applyProtection="1">
      <alignment horizontal="left" vertical="top"/>
    </xf>
    <xf numFmtId="0" fontId="50" fillId="0" borderId="0" xfId="36" applyFont="1" applyFill="1" applyBorder="1" applyAlignment="1" applyProtection="1">
      <alignment horizontal="left" vertical="top" indent="1"/>
    </xf>
    <xf numFmtId="0" fontId="35" fillId="0" borderId="0" xfId="36" applyFont="1" applyFill="1" applyBorder="1" applyAlignment="1" applyProtection="1">
      <alignment horizontal="left" vertical="top"/>
    </xf>
    <xf numFmtId="0" fontId="43" fillId="0" borderId="0" xfId="37" applyFont="1" applyFill="1" applyBorder="1" applyAlignment="1">
      <alignment horizontal="left" vertical="top"/>
    </xf>
    <xf numFmtId="0" fontId="13" fillId="0" borderId="0" xfId="0" applyNumberFormat="1" applyFont="1" applyFill="1" applyAlignment="1">
      <alignment horizontal="left" vertical="top" indent="3"/>
    </xf>
    <xf numFmtId="3" fontId="50" fillId="0" borderId="0" xfId="0" applyNumberFormat="1" applyFont="1" applyFill="1" applyAlignment="1">
      <alignment vertical="top"/>
    </xf>
    <xf numFmtId="0" fontId="13" fillId="0" borderId="0" xfId="0" applyFont="1" applyFill="1" applyAlignment="1"/>
    <xf numFmtId="0" fontId="44" fillId="0" borderId="0" xfId="0" applyNumberFormat="1" applyFont="1" applyFill="1" applyAlignment="1">
      <alignment horizontal="left" vertical="top" indent="1"/>
    </xf>
    <xf numFmtId="0" fontId="32" fillId="0" borderId="0" xfId="0" applyNumberFormat="1" applyFont="1" applyFill="1" applyAlignment="1">
      <alignment horizontal="left" vertical="top" wrapText="1" indent="2"/>
    </xf>
    <xf numFmtId="0" fontId="32" fillId="0" borderId="0" xfId="36" applyNumberFormat="1" applyFont="1" applyFill="1" applyBorder="1" applyAlignment="1" applyProtection="1">
      <alignment horizontal="left" vertical="top" wrapText="1" indent="4"/>
    </xf>
    <xf numFmtId="0" fontId="43" fillId="0" borderId="0" xfId="148" applyNumberFormat="1" applyFont="1" applyFill="1" applyAlignment="1">
      <alignment horizontal="left" vertical="top"/>
    </xf>
    <xf numFmtId="49" fontId="44" fillId="0" borderId="0" xfId="36" quotePrefix="1" applyNumberFormat="1" applyFont="1" applyFill="1" applyBorder="1" applyAlignment="1" applyProtection="1">
      <alignment horizontal="left" indent="1"/>
    </xf>
    <xf numFmtId="0" fontId="44" fillId="0" borderId="0" xfId="31" quotePrefix="1" applyNumberFormat="1" applyFont="1" applyFill="1" applyBorder="1" applyAlignment="1" applyProtection="1">
      <alignment horizontal="left" vertical="top" wrapText="1"/>
    </xf>
    <xf numFmtId="3" fontId="13" fillId="0" borderId="0" xfId="43" applyNumberFormat="1" applyFont="1" applyFill="1" applyAlignment="1">
      <alignment vertical="top" wrapText="1"/>
    </xf>
    <xf numFmtId="0" fontId="50" fillId="0" borderId="0" xfId="36" applyNumberFormat="1" applyFont="1" applyFill="1" applyBorder="1" applyAlignment="1" applyProtection="1">
      <alignment horizontal="left" vertical="top"/>
    </xf>
    <xf numFmtId="3" fontId="13" fillId="0" borderId="0" xfId="31" quotePrefix="1" applyNumberFormat="1" applyFont="1" applyFill="1" applyBorder="1" applyAlignment="1" applyProtection="1">
      <alignment vertical="top" wrapText="1"/>
    </xf>
    <xf numFmtId="3" fontId="50" fillId="0" borderId="0" xfId="31" quotePrefix="1" applyNumberFormat="1" applyFont="1" applyFill="1" applyBorder="1" applyAlignment="1" applyProtection="1">
      <alignment vertical="top" wrapText="1"/>
    </xf>
    <xf numFmtId="3" fontId="50" fillId="0" borderId="0" xfId="0" applyNumberFormat="1" applyFont="1" applyFill="1" applyBorder="1"/>
    <xf numFmtId="169" fontId="0" fillId="0" borderId="0" xfId="150" applyNumberFormat="1" applyFont="1"/>
    <xf numFmtId="0" fontId="43" fillId="0" borderId="0" xfId="35" applyNumberFormat="1" applyFont="1" applyFill="1" applyBorder="1" applyAlignment="1" applyProtection="1">
      <alignment horizontal="left" vertical="top" wrapText="1"/>
    </xf>
    <xf numFmtId="3" fontId="46" fillId="0" borderId="0" xfId="148" applyNumberFormat="1" applyFont="1" applyFill="1" applyBorder="1" applyAlignment="1">
      <alignment vertical="top"/>
    </xf>
    <xf numFmtId="3" fontId="47" fillId="0" borderId="0" xfId="148" applyNumberFormat="1" applyFont="1" applyFill="1" applyBorder="1" applyAlignment="1">
      <alignment vertical="top" wrapText="1"/>
    </xf>
    <xf numFmtId="3" fontId="52" fillId="0" borderId="0" xfId="50" applyNumberFormat="1" applyFont="1" applyBorder="1" applyAlignment="1">
      <alignment vertical="top" wrapText="1"/>
    </xf>
    <xf numFmtId="3" fontId="52" fillId="0" borderId="0" xfId="50" applyNumberFormat="1" applyFont="1" applyBorder="1" applyAlignment="1"/>
    <xf numFmtId="3" fontId="52" fillId="0" borderId="0" xfId="50" applyNumberFormat="1" applyFont="1" applyBorder="1" applyAlignment="1">
      <alignment wrapText="1"/>
    </xf>
    <xf numFmtId="3" fontId="52" fillId="0" borderId="0" xfId="0" applyNumberFormat="1" applyFont="1" applyFill="1" applyBorder="1" applyAlignment="1">
      <alignment wrapText="1"/>
    </xf>
    <xf numFmtId="3" fontId="52" fillId="0" borderId="0" xfId="0" applyNumberFormat="1" applyFont="1" applyBorder="1" applyAlignment="1">
      <alignment wrapText="1"/>
    </xf>
    <xf numFmtId="3" fontId="27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 applyProtection="1">
      <alignment vertical="top" wrapText="1"/>
      <protection locked="0"/>
    </xf>
    <xf numFmtId="3" fontId="52" fillId="0" borderId="0" xfId="0" applyNumberFormat="1" applyFont="1" applyFill="1" applyBorder="1" applyAlignment="1" applyProtection="1">
      <alignment vertical="top" wrapText="1"/>
      <protection locked="0"/>
    </xf>
    <xf numFmtId="3" fontId="32" fillId="0" borderId="0" xfId="0" applyNumberFormat="1" applyFont="1" applyFill="1" applyBorder="1" applyAlignment="1" applyProtection="1">
      <alignment vertical="top" wrapText="1"/>
      <protection locked="0"/>
    </xf>
    <xf numFmtId="3" fontId="13" fillId="0" borderId="0" xfId="151" applyNumberFormat="1" applyFont="1" applyFill="1" applyBorder="1" applyAlignment="1" applyProtection="1">
      <alignment vertical="top" wrapText="1"/>
      <protection locked="0"/>
    </xf>
    <xf numFmtId="3" fontId="52" fillId="0" borderId="0" xfId="151" applyNumberFormat="1" applyFont="1" applyFill="1" applyBorder="1" applyAlignment="1" applyProtection="1">
      <alignment vertical="top" wrapText="1"/>
      <protection locked="0"/>
    </xf>
    <xf numFmtId="3" fontId="52" fillId="0" borderId="0" xfId="151" applyNumberFormat="1" applyFont="1" applyFill="1" applyBorder="1" applyAlignment="1"/>
    <xf numFmtId="3" fontId="13" fillId="0" borderId="0" xfId="43" applyNumberFormat="1" applyFont="1" applyFill="1" applyBorder="1" applyAlignment="1" applyProtection="1">
      <alignment vertical="top"/>
      <protection locked="0"/>
    </xf>
    <xf numFmtId="3" fontId="32" fillId="0" borderId="0" xfId="0" applyNumberFormat="1" applyFont="1" applyBorder="1" applyAlignment="1">
      <alignment wrapText="1"/>
    </xf>
    <xf numFmtId="0" fontId="43" fillId="0" borderId="0" xfId="36" applyNumberFormat="1" applyFont="1" applyFill="1" applyBorder="1" applyAlignment="1" applyProtection="1">
      <alignment vertical="top"/>
    </xf>
    <xf numFmtId="0" fontId="90" fillId="0" borderId="0" xfId="37" quotePrefix="1" applyNumberFormat="1" applyFont="1" applyFill="1" applyBorder="1" applyAlignment="1">
      <alignment horizontal="left" vertical="top" wrapText="1" indent="1"/>
    </xf>
    <xf numFmtId="0" fontId="90" fillId="0" borderId="0" xfId="0" applyFont="1" applyFill="1" applyAlignment="1">
      <alignment horizontal="left" indent="1"/>
    </xf>
    <xf numFmtId="3" fontId="90" fillId="0" borderId="0" xfId="0" applyNumberFormat="1" applyFont="1" applyFill="1" applyAlignment="1"/>
    <xf numFmtId="0" fontId="90" fillId="0" borderId="0" xfId="36" applyNumberFormat="1" applyFont="1" applyFill="1" applyBorder="1" applyAlignment="1" applyProtection="1">
      <alignment horizontal="left" vertical="top" wrapText="1" indent="2"/>
    </xf>
    <xf numFmtId="3" fontId="90" fillId="0" borderId="0" xfId="36" applyNumberFormat="1" applyFont="1" applyFill="1" applyBorder="1" applyAlignment="1" applyProtection="1">
      <alignment vertical="top" wrapText="1"/>
    </xf>
    <xf numFmtId="0" fontId="77" fillId="0" borderId="0" xfId="36" applyNumberFormat="1" applyFont="1" applyFill="1" applyAlignment="1">
      <alignment horizontal="left" vertical="top" wrapText="1" indent="4"/>
    </xf>
    <xf numFmtId="3" fontId="77" fillId="0" borderId="0" xfId="36" applyNumberFormat="1" applyFont="1" applyFill="1" applyAlignment="1">
      <alignment vertical="top" wrapText="1"/>
    </xf>
    <xf numFmtId="3" fontId="90" fillId="0" borderId="0" xfId="37" quotePrefix="1" applyNumberFormat="1" applyFont="1" applyFill="1" applyBorder="1" applyAlignment="1">
      <alignment vertical="top" wrapText="1"/>
    </xf>
    <xf numFmtId="0" fontId="13" fillId="0" borderId="0" xfId="36" applyNumberFormat="1" applyFont="1" applyFill="1" applyBorder="1" applyAlignment="1" applyProtection="1">
      <alignment horizontal="left" vertical="top" indent="3"/>
    </xf>
    <xf numFmtId="49" fontId="50" fillId="0" borderId="0" xfId="0" quotePrefix="1" applyNumberFormat="1" applyFont="1" applyFill="1" applyAlignment="1">
      <alignment horizontal="left" indent="1"/>
    </xf>
    <xf numFmtId="49" fontId="50" fillId="0" borderId="0" xfId="37" applyNumberFormat="1" applyFont="1" applyFill="1" applyBorder="1" applyAlignment="1">
      <alignment horizontal="left" wrapText="1" indent="1"/>
    </xf>
    <xf numFmtId="0" fontId="34" fillId="0" borderId="0" xfId="43" applyFont="1" applyFill="1" applyBorder="1" applyAlignment="1">
      <alignment horizontal="left" vertical="top"/>
    </xf>
    <xf numFmtId="0" fontId="13" fillId="0" borderId="0" xfId="36" applyFont="1" applyFill="1" applyBorder="1" applyAlignment="1" applyProtection="1">
      <alignment horizontal="left" vertical="top"/>
    </xf>
    <xf numFmtId="167" fontId="93" fillId="0" borderId="0" xfId="35" applyNumberFormat="1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13" fillId="0" borderId="0" xfId="156" applyNumberFormat="1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54" fillId="0" borderId="0" xfId="36" applyFont="1" applyFill="1" applyBorder="1" applyAlignment="1" applyProtection="1">
      <alignment horizontal="left" vertical="top"/>
    </xf>
    <xf numFmtId="0" fontId="54" fillId="0" borderId="0" xfId="0" applyFont="1" applyFill="1"/>
    <xf numFmtId="0" fontId="44" fillId="0" borderId="0" xfId="0" applyFont="1" applyFill="1"/>
    <xf numFmtId="3" fontId="44" fillId="27" borderId="0" xfId="0" applyNumberFormat="1" applyFont="1" applyFill="1" applyAlignment="1">
      <alignment horizontal="right" vertical="top"/>
    </xf>
    <xf numFmtId="3" fontId="44" fillId="0" borderId="0" xfId="0" applyNumberFormat="1" applyFont="1" applyFill="1" applyAlignment="1">
      <alignment horizontal="right" vertical="top"/>
    </xf>
    <xf numFmtId="0" fontId="44" fillId="0" borderId="0" xfId="36" applyFont="1" applyFill="1" applyBorder="1" applyAlignment="1" applyProtection="1">
      <alignment horizontal="right" vertical="top"/>
    </xf>
    <xf numFmtId="3" fontId="34" fillId="0" borderId="0" xfId="0" applyNumberFormat="1" applyFont="1" applyBorder="1"/>
    <xf numFmtId="0" fontId="13" fillId="0" borderId="0" xfId="43" applyFont="1" applyFill="1" applyBorder="1" applyAlignment="1">
      <alignment vertical="top" wrapText="1"/>
    </xf>
    <xf numFmtId="0" fontId="97" fillId="0" borderId="0" xfId="0" applyFont="1" applyBorder="1" applyAlignment="1">
      <alignment horizontal="left" wrapText="1"/>
    </xf>
    <xf numFmtId="2" fontId="35" fillId="0" borderId="0" xfId="0" applyNumberFormat="1" applyFont="1" applyFill="1" applyBorder="1" applyAlignment="1">
      <alignment horizontal="left" vertical="top" indent="2"/>
    </xf>
    <xf numFmtId="3" fontId="47" fillId="0" borderId="0" xfId="148" applyNumberFormat="1" applyFont="1" applyFill="1" applyBorder="1" applyAlignment="1">
      <alignment vertical="top"/>
    </xf>
    <xf numFmtId="3" fontId="35" fillId="0" borderId="0" xfId="0" applyNumberFormat="1" applyFont="1" applyFill="1" applyBorder="1" applyAlignment="1">
      <alignment vertical="top"/>
    </xf>
    <xf numFmtId="3" fontId="52" fillId="0" borderId="0" xfId="148" applyNumberFormat="1" applyFont="1" applyFill="1" applyBorder="1" applyAlignment="1">
      <alignment wrapText="1"/>
    </xf>
    <xf numFmtId="3" fontId="52" fillId="0" borderId="0" xfId="0" applyNumberFormat="1" applyFont="1" applyFill="1" applyBorder="1" applyAlignment="1"/>
    <xf numFmtId="3" fontId="99" fillId="0" borderId="0" xfId="0" applyNumberFormat="1" applyFont="1" applyFill="1"/>
    <xf numFmtId="0" fontId="13" fillId="0" borderId="16" xfId="153" applyFont="1" applyFill="1" applyBorder="1" applyAlignment="1" applyProtection="1">
      <alignment horizontal="left" vertical="top" wrapText="1"/>
      <protection locked="0"/>
    </xf>
    <xf numFmtId="3" fontId="13" fillId="0" borderId="16" xfId="153" applyNumberFormat="1" applyFont="1" applyFill="1" applyBorder="1" applyAlignment="1" applyProtection="1">
      <alignment vertical="top"/>
      <protection locked="0"/>
    </xf>
    <xf numFmtId="3" fontId="0" fillId="0" borderId="0" xfId="0" applyNumberFormat="1" applyFill="1" applyBorder="1"/>
    <xf numFmtId="0" fontId="52" fillId="0" borderId="0" xfId="0" applyFont="1" applyFill="1" applyBorder="1" applyAlignment="1">
      <alignment horizontal="left" wrapText="1" indent="4"/>
    </xf>
    <xf numFmtId="169" fontId="13" fillId="0" borderId="0" xfId="150" applyNumberFormat="1" applyFont="1" applyFill="1"/>
    <xf numFmtId="3" fontId="100" fillId="0" borderId="0" xfId="0" applyNumberFormat="1" applyFont="1" applyAlignment="1">
      <alignment horizontal="right" vertical="center"/>
    </xf>
    <xf numFmtId="3" fontId="13" fillId="0" borderId="0" xfId="36" applyNumberFormat="1" applyFont="1" applyFill="1" applyBorder="1" applyAlignment="1">
      <alignment vertical="top"/>
    </xf>
    <xf numFmtId="9" fontId="13" fillId="0" borderId="0" xfId="150" applyFont="1" applyFill="1"/>
    <xf numFmtId="0" fontId="101" fillId="0" borderId="0" xfId="0" applyFont="1" applyFill="1"/>
    <xf numFmtId="3" fontId="50" fillId="0" borderId="0" xfId="0" applyNumberFormat="1" applyFont="1" applyFill="1"/>
    <xf numFmtId="3" fontId="47" fillId="29" borderId="0" xfId="43" applyNumberFormat="1" applyFont="1" applyFill="1" applyBorder="1" applyAlignment="1">
      <alignment vertical="top"/>
    </xf>
    <xf numFmtId="3" fontId="47" fillId="0" borderId="0" xfId="0" applyNumberFormat="1" applyFont="1" applyFill="1" applyAlignment="1">
      <alignment horizontal="right"/>
    </xf>
    <xf numFmtId="3" fontId="46" fillId="0" borderId="0" xfId="0" applyNumberFormat="1" applyFont="1" applyFill="1" applyAlignment="1">
      <alignment horizontal="right"/>
    </xf>
    <xf numFmtId="3" fontId="47" fillId="0" borderId="0" xfId="0" applyNumberFormat="1" applyFont="1" applyFill="1" applyAlignment="1"/>
    <xf numFmtId="0" fontId="46" fillId="0" borderId="0" xfId="0" applyFont="1" applyFill="1" applyAlignment="1">
      <alignment vertical="top"/>
    </xf>
    <xf numFmtId="0" fontId="35" fillId="0" borderId="0" xfId="0" applyFont="1" applyFill="1" applyAlignment="1">
      <alignment vertical="top"/>
    </xf>
    <xf numFmtId="3" fontId="46" fillId="0" borderId="0" xfId="0" applyNumberFormat="1" applyFont="1" applyFill="1" applyAlignment="1"/>
    <xf numFmtId="0" fontId="46" fillId="0" borderId="0" xfId="0" applyFont="1" applyFill="1" applyAlignment="1"/>
    <xf numFmtId="0" fontId="35" fillId="0" borderId="0" xfId="0" applyFont="1" applyFill="1" applyAlignment="1"/>
    <xf numFmtId="0" fontId="35" fillId="0" borderId="0" xfId="43" applyFont="1" applyFill="1" applyBorder="1" applyAlignment="1">
      <alignment horizontal="left" vertical="top" wrapText="1" indent="3"/>
    </xf>
    <xf numFmtId="3" fontId="32" fillId="0" borderId="0" xfId="0" applyNumberFormat="1" applyFont="1" applyBorder="1" applyAlignment="1"/>
    <xf numFmtId="0" fontId="0" fillId="0" borderId="0" xfId="0" applyBorder="1" applyAlignment="1"/>
    <xf numFmtId="3" fontId="52" fillId="0" borderId="0" xfId="50" applyNumberFormat="1" applyFont="1" applyBorder="1" applyAlignment="1">
      <alignment vertical="top"/>
    </xf>
    <xf numFmtId="3" fontId="13" fillId="0" borderId="0" xfId="0" applyNumberFormat="1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3" fontId="52" fillId="0" borderId="0" xfId="0" applyNumberFormat="1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/>
    <xf numFmtId="3" fontId="52" fillId="0" borderId="0" xfId="148" applyNumberFormat="1" applyFont="1" applyBorder="1" applyAlignment="1"/>
    <xf numFmtId="3" fontId="32" fillId="0" borderId="0" xfId="0" applyNumberFormat="1" applyFont="1" applyFill="1" applyBorder="1" applyAlignment="1" applyProtection="1">
      <alignment vertical="top"/>
      <protection locked="0"/>
    </xf>
    <xf numFmtId="9" fontId="13" fillId="0" borderId="0" xfId="150" applyFont="1"/>
    <xf numFmtId="0" fontId="52" fillId="0" borderId="0" xfId="50" applyFont="1" applyFill="1" applyBorder="1" applyAlignment="1">
      <alignment wrapText="1"/>
    </xf>
    <xf numFmtId="0" fontId="43" fillId="0" borderId="0" xfId="36" applyNumberFormat="1" applyFont="1" applyFill="1" applyBorder="1" applyAlignment="1" applyProtection="1">
      <alignment vertical="top" wrapText="1"/>
    </xf>
    <xf numFmtId="0" fontId="43" fillId="0" borderId="0" xfId="50" applyFont="1" applyFill="1" applyBorder="1" applyAlignment="1">
      <alignment wrapText="1"/>
    </xf>
    <xf numFmtId="3" fontId="52" fillId="0" borderId="0" xfId="0" applyNumberFormat="1" applyFont="1" applyFill="1" applyBorder="1" applyAlignment="1">
      <alignment vertical="top"/>
    </xf>
    <xf numFmtId="3" fontId="32" fillId="0" borderId="0" xfId="36" applyNumberFormat="1" applyFont="1" applyFill="1" applyBorder="1" applyAlignment="1" applyProtection="1">
      <alignment horizontal="right" vertical="top"/>
    </xf>
    <xf numFmtId="3" fontId="13" fillId="0" borderId="0" xfId="36" applyNumberFormat="1" applyFont="1" applyFill="1" applyBorder="1" applyAlignment="1" applyProtection="1">
      <alignment horizontal="right" vertical="top" wrapText="1"/>
    </xf>
    <xf numFmtId="3" fontId="50" fillId="0" borderId="0" xfId="36" applyNumberFormat="1" applyFont="1" applyFill="1" applyBorder="1" applyAlignment="1" applyProtection="1">
      <alignment horizontal="right" vertical="top"/>
    </xf>
    <xf numFmtId="3" fontId="44" fillId="0" borderId="0" xfId="36" applyNumberFormat="1" applyFont="1" applyFill="1" applyBorder="1" applyAlignment="1" applyProtection="1">
      <alignment horizontal="right" vertical="top" wrapText="1"/>
    </xf>
    <xf numFmtId="3" fontId="50" fillId="0" borderId="0" xfId="36" applyNumberFormat="1" applyFont="1" applyFill="1" applyBorder="1" applyAlignment="1" applyProtection="1">
      <alignment horizontal="right" vertical="top" wrapText="1"/>
    </xf>
    <xf numFmtId="3" fontId="13" fillId="0" borderId="0" xfId="31" applyNumberFormat="1" applyFont="1" applyFill="1" applyBorder="1" applyAlignment="1" applyProtection="1">
      <alignment horizontal="right" vertical="top" wrapText="1"/>
    </xf>
    <xf numFmtId="3" fontId="13" fillId="0" borderId="0" xfId="37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Alignment="1">
      <alignment horizontal="right"/>
    </xf>
    <xf numFmtId="0" fontId="13" fillId="0" borderId="16" xfId="153" applyFont="1" applyFill="1" applyBorder="1" applyAlignment="1" applyProtection="1">
      <alignment horizontal="left" vertical="top"/>
      <protection locked="0"/>
    </xf>
    <xf numFmtId="3" fontId="13" fillId="0" borderId="12" xfId="153" applyNumberFormat="1" applyFont="1" applyFill="1" applyBorder="1" applyAlignment="1" applyProtection="1">
      <alignment vertical="top"/>
      <protection locked="0"/>
    </xf>
    <xf numFmtId="0" fontId="13" fillId="0" borderId="12" xfId="153" applyFont="1" applyFill="1" applyBorder="1" applyAlignment="1" applyProtection="1">
      <alignment horizontal="left" vertical="top" wrapText="1"/>
      <protection locked="0"/>
    </xf>
    <xf numFmtId="3" fontId="34" fillId="0" borderId="0" xfId="0" applyNumberFormat="1" applyFont="1" applyFill="1" applyAlignment="1">
      <alignment horizontal="right" vertical="top"/>
    </xf>
    <xf numFmtId="0" fontId="13" fillId="0" borderId="15" xfId="153" applyFont="1" applyFill="1" applyBorder="1" applyAlignment="1" applyProtection="1">
      <alignment horizontal="left" vertical="top" wrapText="1"/>
      <protection locked="0"/>
    </xf>
    <xf numFmtId="0" fontId="54" fillId="0" borderId="0" xfId="0" applyFont="1" applyBorder="1"/>
    <xf numFmtId="2" fontId="47" fillId="0" borderId="0" xfId="0" applyNumberFormat="1" applyFont="1" applyFill="1" applyBorder="1" applyAlignment="1">
      <alignment horizontal="left" vertical="top" wrapText="1" indent="2"/>
    </xf>
    <xf numFmtId="0" fontId="52" fillId="0" borderId="0" xfId="0" applyFont="1" applyBorder="1" applyAlignment="1">
      <alignment horizontal="left" vertical="top" wrapText="1" indent="4"/>
    </xf>
    <xf numFmtId="3" fontId="52" fillId="0" borderId="0" xfId="0" applyNumberFormat="1" applyFont="1" applyBorder="1" applyAlignment="1">
      <alignment vertical="top" wrapText="1"/>
    </xf>
    <xf numFmtId="3" fontId="52" fillId="0" borderId="0" xfId="0" applyNumberFormat="1" applyFont="1" applyBorder="1" applyAlignment="1">
      <alignment vertical="top"/>
    </xf>
    <xf numFmtId="0" fontId="32" fillId="0" borderId="0" xfId="0" applyFont="1" applyBorder="1" applyAlignment="1">
      <alignment horizontal="left" vertical="top" wrapText="1" indent="2"/>
    </xf>
    <xf numFmtId="3" fontId="32" fillId="0" borderId="0" xfId="0" applyNumberFormat="1" applyFont="1" applyBorder="1" applyAlignment="1">
      <alignment vertical="top" wrapText="1"/>
    </xf>
    <xf numFmtId="3" fontId="32" fillId="0" borderId="0" xfId="0" applyNumberFormat="1" applyFont="1" applyBorder="1" applyAlignment="1">
      <alignment vertical="top"/>
    </xf>
    <xf numFmtId="0" fontId="52" fillId="0" borderId="0" xfId="0" applyFont="1" applyBorder="1" applyAlignment="1">
      <alignment vertical="top"/>
    </xf>
    <xf numFmtId="9" fontId="0" fillId="0" borderId="0" xfId="150" applyFont="1"/>
    <xf numFmtId="9" fontId="0" fillId="0" borderId="0" xfId="150" applyFont="1" applyAlignment="1">
      <alignment horizontal="right"/>
    </xf>
    <xf numFmtId="49" fontId="32" fillId="0" borderId="0" xfId="0" applyNumberFormat="1" applyFont="1" applyFill="1" applyAlignment="1">
      <alignment horizontal="left" vertical="top" indent="3"/>
    </xf>
    <xf numFmtId="3" fontId="32" fillId="0" borderId="0" xfId="36" applyNumberFormat="1" applyFont="1" applyFill="1" applyBorder="1" applyAlignment="1">
      <alignment vertical="top" wrapText="1"/>
    </xf>
    <xf numFmtId="0" fontId="13" fillId="0" borderId="0" xfId="36" applyNumberFormat="1" applyFont="1" applyFill="1" applyBorder="1" applyAlignment="1" applyProtection="1">
      <alignment horizontal="left" vertical="top" wrapText="1" indent="2"/>
    </xf>
    <xf numFmtId="14" fontId="39" fillId="0" borderId="0" xfId="0" applyNumberFormat="1" applyFont="1" applyFill="1" applyBorder="1"/>
    <xf numFmtId="14" fontId="45" fillId="0" borderId="0" xfId="0" applyNumberFormat="1" applyFont="1" applyFill="1" applyBorder="1"/>
    <xf numFmtId="0" fontId="13" fillId="0" borderId="0" xfId="0" applyFont="1" applyFill="1" applyBorder="1" applyAlignment="1">
      <alignment horizontal="right" indent="1"/>
    </xf>
    <xf numFmtId="3" fontId="13" fillId="0" borderId="0" xfId="0" applyNumberFormat="1" applyFont="1" applyFill="1" applyBorder="1" applyAlignment="1">
      <alignment horizontal="left" indent="1"/>
    </xf>
    <xf numFmtId="0" fontId="98" fillId="0" borderId="0" xfId="0" applyFont="1" applyFill="1" applyAlignment="1">
      <alignment vertical="top"/>
    </xf>
    <xf numFmtId="0" fontId="105" fillId="0" borderId="0" xfId="0" applyFont="1" applyBorder="1"/>
    <xf numFmtId="3" fontId="106" fillId="0" borderId="0" xfId="0" applyNumberFormat="1" applyFont="1" applyBorder="1" applyAlignment="1"/>
    <xf numFmtId="0" fontId="76" fillId="0" borderId="0" xfId="0" applyFont="1"/>
    <xf numFmtId="0" fontId="93" fillId="29" borderId="16" xfId="155" applyNumberFormat="1" applyFont="1" applyFill="1" applyBorder="1" applyAlignment="1">
      <alignment vertical="top" wrapText="1"/>
    </xf>
    <xf numFmtId="164" fontId="93" fillId="28" borderId="11" xfId="87" applyFont="1" applyFill="1" applyBorder="1" applyAlignment="1">
      <alignment horizontal="center" vertical="top" wrapText="1"/>
    </xf>
    <xf numFmtId="164" fontId="93" fillId="28" borderId="13" xfId="87" applyFont="1" applyFill="1" applyBorder="1" applyAlignment="1">
      <alignment horizontal="center" vertical="top" wrapText="1"/>
    </xf>
    <xf numFmtId="3" fontId="47" fillId="0" borderId="0" xfId="0" applyNumberFormat="1" applyFont="1" applyFill="1" applyAlignment="1">
      <alignment vertical="top"/>
    </xf>
    <xf numFmtId="0" fontId="32" fillId="0" borderId="0" xfId="0" applyFont="1" applyBorder="1" applyAlignment="1">
      <alignment horizontal="left" indent="6"/>
    </xf>
    <xf numFmtId="3" fontId="35" fillId="0" borderId="0" xfId="36" applyNumberFormat="1" applyFont="1" applyFill="1" applyBorder="1" applyAlignment="1" applyProtection="1">
      <alignment horizontal="right" vertical="top" wrapText="1"/>
    </xf>
    <xf numFmtId="3" fontId="75" fillId="0" borderId="0" xfId="37" applyNumberFormat="1" applyFont="1" applyFill="1" applyBorder="1" applyAlignment="1">
      <alignment horizontal="right" vertical="top"/>
    </xf>
    <xf numFmtId="3" fontId="13" fillId="0" borderId="0" xfId="37" applyNumberFormat="1" applyFont="1" applyFill="1" applyBorder="1" applyAlignment="1">
      <alignment horizontal="right" vertical="top"/>
    </xf>
    <xf numFmtId="169" fontId="13" fillId="0" borderId="0" xfId="46" applyNumberFormat="1" applyFont="1" applyFill="1"/>
    <xf numFmtId="0" fontId="34" fillId="0" borderId="0" xfId="50" applyFont="1"/>
    <xf numFmtId="3" fontId="34" fillId="0" borderId="0" xfId="50" applyNumberFormat="1" applyFont="1" applyFill="1"/>
    <xf numFmtId="0" fontId="13" fillId="0" borderId="0" xfId="50" applyFont="1"/>
    <xf numFmtId="0" fontId="13" fillId="0" borderId="0" xfId="50" applyFont="1" applyFill="1"/>
    <xf numFmtId="3" fontId="13" fillId="0" borderId="0" xfId="50" applyNumberFormat="1" applyFont="1" applyFill="1"/>
    <xf numFmtId="0" fontId="34" fillId="0" borderId="0" xfId="50" applyFont="1" applyFill="1"/>
    <xf numFmtId="0" fontId="13" fillId="0" borderId="0" xfId="50" applyFont="1" applyFill="1" applyAlignment="1">
      <alignment wrapText="1"/>
    </xf>
    <xf numFmtId="164" fontId="93" fillId="28" borderId="16" xfId="87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/>
    </xf>
    <xf numFmtId="0" fontId="93" fillId="28" borderId="18" xfId="155" applyNumberFormat="1" applyFont="1" applyFill="1" applyBorder="1" applyAlignment="1">
      <alignment horizontal="center" vertical="top" wrapText="1"/>
    </xf>
    <xf numFmtId="0" fontId="93" fillId="28" borderId="14" xfId="155" applyNumberFormat="1" applyFont="1" applyFill="1" applyBorder="1" applyAlignment="1">
      <alignment horizontal="center" vertical="top" wrapText="1"/>
    </xf>
    <xf numFmtId="0" fontId="93" fillId="28" borderId="17" xfId="155" applyNumberFormat="1" applyFont="1" applyFill="1" applyBorder="1" applyAlignment="1">
      <alignment horizontal="center" vertical="top" wrapText="1"/>
    </xf>
    <xf numFmtId="49" fontId="93" fillId="28" borderId="16" xfId="87" applyNumberFormat="1" applyFont="1" applyFill="1" applyBorder="1" applyAlignment="1">
      <alignment horizontal="center" vertical="top" wrapText="1"/>
    </xf>
    <xf numFmtId="0" fontId="93" fillId="0" borderId="16" xfId="155" applyNumberFormat="1" applyFont="1" applyFill="1" applyBorder="1" applyAlignment="1">
      <alignment horizontal="center" vertical="top" wrapText="1"/>
    </xf>
    <xf numFmtId="164" fontId="93" fillId="0" borderId="12" xfId="87" applyFont="1" applyFill="1" applyBorder="1" applyAlignment="1">
      <alignment horizontal="center" vertical="top" wrapText="1"/>
    </xf>
    <xf numFmtId="164" fontId="93" fillId="0" borderId="15" xfId="87" applyFont="1" applyFill="1" applyBorder="1" applyAlignment="1">
      <alignment horizontal="center" vertical="top" wrapText="1"/>
    </xf>
    <xf numFmtId="0" fontId="93" fillId="28" borderId="16" xfId="155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27" borderId="0" xfId="36" applyFont="1" applyFill="1" applyBorder="1" applyAlignment="1" applyProtection="1">
      <alignment horizontal="right" vertical="top"/>
    </xf>
    <xf numFmtId="9" fontId="44" fillId="0" borderId="0" xfId="46" applyFont="1" applyFill="1" applyAlignment="1">
      <alignment horizontal="right" vertical="top"/>
    </xf>
    <xf numFmtId="3" fontId="13" fillId="0" borderId="0" xfId="36" applyNumberFormat="1" applyFont="1" applyFill="1" applyBorder="1" applyAlignment="1" applyProtection="1">
      <alignment horizontal="right" vertical="top"/>
    </xf>
    <xf numFmtId="3" fontId="13" fillId="0" borderId="0" xfId="0" applyNumberFormat="1" applyFont="1" applyFill="1" applyAlignment="1">
      <alignment horizontal="right" vertical="top"/>
    </xf>
    <xf numFmtId="3" fontId="13" fillId="29" borderId="0" xfId="0" applyNumberFormat="1" applyFont="1" applyFill="1" applyAlignment="1">
      <alignment vertical="top"/>
    </xf>
    <xf numFmtId="3" fontId="108" fillId="29" borderId="0" xfId="0" applyNumberFormat="1" applyFont="1" applyFill="1" applyAlignment="1">
      <alignment horizontal="right" vertical="top"/>
    </xf>
    <xf numFmtId="0" fontId="34" fillId="0" borderId="0" xfId="149" applyFont="1" applyFill="1" applyAlignment="1">
      <alignment horizontal="left" indent="3"/>
    </xf>
    <xf numFmtId="0" fontId="13" fillId="0" borderId="0" xfId="45" applyFont="1" applyFill="1" applyBorder="1" applyAlignment="1" applyProtection="1">
      <alignment horizontal="left" vertical="top" wrapText="1" indent="3"/>
    </xf>
    <xf numFmtId="0" fontId="50" fillId="0" borderId="0" xfId="36" applyFont="1" applyFill="1" applyBorder="1" applyAlignment="1" applyProtection="1">
      <alignment horizontal="left" vertical="top" indent="6"/>
    </xf>
    <xf numFmtId="0" fontId="50" fillId="0" borderId="0" xfId="35" applyFont="1" applyFill="1" applyBorder="1" applyAlignment="1" applyProtection="1">
      <alignment horizontal="left" indent="4"/>
    </xf>
    <xf numFmtId="3" fontId="88" fillId="0" borderId="0" xfId="36" applyNumberFormat="1" applyFont="1" applyFill="1" applyBorder="1" applyAlignment="1" applyProtection="1">
      <alignment horizontal="right" vertical="top"/>
    </xf>
    <xf numFmtId="0" fontId="50" fillId="0" borderId="0" xfId="223" applyFont="1" applyFill="1" applyBorder="1" applyAlignment="1" applyProtection="1">
      <alignment horizontal="left" indent="1"/>
    </xf>
    <xf numFmtId="3" fontId="32" fillId="0" borderId="0" xfId="36" applyNumberFormat="1" applyFont="1" applyFill="1" applyBorder="1" applyAlignment="1" applyProtection="1">
      <alignment horizontal="right" vertical="top" wrapText="1"/>
    </xf>
    <xf numFmtId="0" fontId="90" fillId="0" borderId="0" xfId="36" applyNumberFormat="1" applyFont="1" applyFill="1" applyBorder="1" applyAlignment="1" applyProtection="1">
      <alignment horizontal="left" vertical="top" indent="1"/>
    </xf>
    <xf numFmtId="3" fontId="90" fillId="0" borderId="0" xfId="36" applyNumberFormat="1" applyFont="1" applyFill="1" applyBorder="1" applyAlignment="1" applyProtection="1">
      <alignment vertical="top"/>
    </xf>
    <xf numFmtId="3" fontId="35" fillId="0" borderId="0" xfId="36" applyNumberFormat="1" applyFont="1" applyFill="1" applyBorder="1" applyAlignment="1" applyProtection="1">
      <alignment horizontal="right" vertical="top"/>
    </xf>
    <xf numFmtId="3" fontId="13" fillId="0" borderId="0" xfId="148" applyNumberFormat="1" applyFont="1" applyFill="1" applyAlignment="1">
      <alignment horizontal="right" vertical="top"/>
    </xf>
    <xf numFmtId="3" fontId="32" fillId="0" borderId="0" xfId="0" applyNumberFormat="1" applyFont="1" applyFill="1"/>
    <xf numFmtId="0" fontId="43" fillId="0" borderId="0" xfId="0" applyFont="1" applyFill="1" applyBorder="1" applyAlignment="1"/>
    <xf numFmtId="0" fontId="13" fillId="33" borderId="0" xfId="36" applyFont="1" applyFill="1" applyBorder="1" applyAlignment="1" applyProtection="1">
      <alignment horizontal="left" vertical="top"/>
    </xf>
    <xf numFmtId="0" fontId="13" fillId="33" borderId="0" xfId="0" applyFont="1" applyFill="1"/>
    <xf numFmtId="0" fontId="50" fillId="0" borderId="0" xfId="31" applyNumberFormat="1" applyFont="1" applyFill="1" applyBorder="1" applyAlignment="1" applyProtection="1">
      <alignment horizontal="left" vertical="top" wrapText="1" indent="3"/>
    </xf>
    <xf numFmtId="3" fontId="44" fillId="0" borderId="0" xfId="0" applyNumberFormat="1" applyFont="1" applyFill="1"/>
    <xf numFmtId="0" fontId="13" fillId="0" borderId="0" xfId="43" applyNumberFormat="1" applyFont="1" applyFill="1" applyAlignment="1">
      <alignment horizontal="left" vertical="top" indent="2"/>
    </xf>
    <xf numFmtId="3" fontId="44" fillId="0" borderId="0" xfId="36" applyNumberFormat="1" applyFont="1" applyFill="1" applyBorder="1" applyAlignment="1" applyProtection="1">
      <alignment horizontal="right" vertical="top"/>
    </xf>
    <xf numFmtId="3" fontId="13" fillId="0" borderId="0" xfId="0" applyNumberFormat="1" applyFont="1" applyFill="1" applyBorder="1" applyAlignment="1">
      <alignment horizontal="right"/>
    </xf>
    <xf numFmtId="3" fontId="13" fillId="0" borderId="0" xfId="36" applyNumberFormat="1" applyFont="1" applyFill="1" applyBorder="1" applyAlignment="1">
      <alignment horizontal="right" vertical="top" wrapText="1"/>
    </xf>
    <xf numFmtId="3" fontId="13" fillId="0" borderId="0" xfId="36" applyNumberFormat="1" applyFont="1" applyFill="1" applyBorder="1" applyAlignment="1">
      <alignment horizontal="right" vertical="top"/>
    </xf>
    <xf numFmtId="0" fontId="13" fillId="0" borderId="0" xfId="37" applyNumberFormat="1" applyFont="1" applyFill="1" applyBorder="1" applyAlignment="1">
      <alignment horizontal="left" vertical="top" indent="4"/>
    </xf>
    <xf numFmtId="0" fontId="42" fillId="0" borderId="0" xfId="0" applyNumberFormat="1" applyFont="1" applyFill="1" applyAlignment="1">
      <alignment horizontal="left" vertical="top"/>
    </xf>
    <xf numFmtId="3" fontId="42" fillId="0" borderId="0" xfId="0" applyNumberFormat="1" applyFont="1" applyFill="1" applyAlignment="1">
      <alignment vertical="top"/>
    </xf>
    <xf numFmtId="0" fontId="42" fillId="0" borderId="0" xfId="36" applyNumberFormat="1" applyFont="1" applyFill="1" applyBorder="1" applyAlignment="1">
      <alignment horizontal="left"/>
    </xf>
    <xf numFmtId="3" fontId="42" fillId="0" borderId="0" xfId="36" applyNumberFormat="1" applyFont="1" applyFill="1" applyBorder="1" applyAlignment="1"/>
    <xf numFmtId="3" fontId="110" fillId="0" borderId="0" xfId="0" applyNumberFormat="1" applyFont="1" applyFill="1" applyAlignment="1">
      <alignment vertical="top"/>
    </xf>
    <xf numFmtId="0" fontId="109" fillId="0" borderId="0" xfId="36" applyNumberFormat="1" applyFont="1" applyFill="1" applyBorder="1" applyAlignment="1" applyProtection="1">
      <alignment horizontal="left" vertical="top"/>
    </xf>
    <xf numFmtId="3" fontId="50" fillId="0" borderId="0" xfId="0" applyNumberFormat="1" applyFont="1" applyFill="1" applyAlignment="1">
      <alignment horizontal="left" vertical="top" indent="1"/>
    </xf>
    <xf numFmtId="164" fontId="93" fillId="0" borderId="16" xfId="87" applyFont="1" applyFill="1" applyBorder="1" applyAlignment="1">
      <alignment horizontal="right" vertical="top" wrapText="1"/>
    </xf>
    <xf numFmtId="171" fontId="93" fillId="29" borderId="16" xfId="87" applyNumberFormat="1" applyFont="1" applyFill="1" applyBorder="1" applyAlignment="1">
      <alignment horizontal="right" vertical="top" wrapText="1"/>
    </xf>
    <xf numFmtId="0" fontId="13" fillId="0" borderId="0" xfId="43" applyFont="1"/>
    <xf numFmtId="0" fontId="39" fillId="0" borderId="0" xfId="43" applyFont="1"/>
    <xf numFmtId="0" fontId="111" fillId="0" borderId="0" xfId="43" applyFont="1" applyAlignment="1">
      <alignment horizontal="center"/>
    </xf>
    <xf numFmtId="3" fontId="13" fillId="0" borderId="0" xfId="43" applyNumberFormat="1" applyFont="1"/>
    <xf numFmtId="0" fontId="34" fillId="0" borderId="0" xfId="43" applyFont="1"/>
    <xf numFmtId="0" fontId="52" fillId="0" borderId="0" xfId="43" applyFont="1" applyAlignment="1">
      <alignment horizontal="right"/>
    </xf>
    <xf numFmtId="3" fontId="52" fillId="0" borderId="0" xfId="43" applyNumberFormat="1" applyFont="1" applyAlignment="1">
      <alignment horizontal="right"/>
    </xf>
    <xf numFmtId="0" fontId="13" fillId="0" borderId="0" xfId="43" applyFont="1" applyAlignment="1">
      <alignment wrapText="1"/>
    </xf>
    <xf numFmtId="164" fontId="107" fillId="0" borderId="0" xfId="87" applyFont="1" applyFill="1" applyBorder="1" applyAlignment="1">
      <alignment horizontal="right" vertical="top" wrapText="1"/>
    </xf>
    <xf numFmtId="0" fontId="34" fillId="0" borderId="16" xfId="43" applyFont="1" applyFill="1" applyBorder="1" applyAlignment="1" applyProtection="1">
      <alignment horizontal="left" vertical="top" wrapText="1"/>
    </xf>
    <xf numFmtId="0" fontId="34" fillId="0" borderId="16" xfId="43" applyFont="1" applyFill="1" applyBorder="1" applyAlignment="1" applyProtection="1">
      <alignment horizontal="center" vertical="top" wrapText="1"/>
    </xf>
    <xf numFmtId="3" fontId="34" fillId="0" borderId="16" xfId="43" applyNumberFormat="1" applyFont="1" applyFill="1" applyBorder="1" applyAlignment="1" applyProtection="1">
      <alignment horizontal="center" vertical="top" wrapText="1"/>
    </xf>
    <xf numFmtId="164" fontId="93" fillId="29" borderId="14" xfId="87" applyFont="1" applyFill="1" applyBorder="1" applyAlignment="1">
      <alignment horizontal="right" vertical="top" wrapText="1"/>
    </xf>
    <xf numFmtId="0" fontId="34" fillId="34" borderId="16" xfId="0" applyFont="1" applyFill="1" applyBorder="1" applyAlignment="1" applyProtection="1">
      <alignment horizontal="left" vertical="top" wrapText="1"/>
      <protection locked="0"/>
    </xf>
    <xf numFmtId="3" fontId="34" fillId="34" borderId="16" xfId="0" applyNumberFormat="1" applyFont="1" applyFill="1" applyBorder="1" applyAlignment="1" applyProtection="1">
      <alignment vertical="top"/>
      <protection locked="0"/>
    </xf>
    <xf numFmtId="0" fontId="13" fillId="0" borderId="19" xfId="0" applyFont="1" applyFill="1" applyBorder="1" applyAlignment="1" applyProtection="1">
      <alignment horizontal="right" vertical="top" wrapText="1"/>
      <protection locked="0"/>
    </xf>
    <xf numFmtId="0" fontId="13" fillId="0" borderId="16" xfId="0" applyFont="1" applyFill="1" applyBorder="1" applyAlignment="1" applyProtection="1">
      <alignment horizontal="left" vertical="top" wrapText="1"/>
    </xf>
    <xf numFmtId="3" fontId="13" fillId="0" borderId="17" xfId="0" applyNumberFormat="1" applyFont="1" applyFill="1" applyBorder="1" applyAlignment="1" applyProtection="1">
      <alignment horizontal="right" vertical="top" wrapText="1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34" fillId="35" borderId="16" xfId="153" applyFont="1" applyFill="1" applyBorder="1" applyAlignment="1" applyProtection="1">
      <alignment horizontal="left" vertical="top" wrapText="1"/>
      <protection locked="0"/>
    </xf>
    <xf numFmtId="0" fontId="34" fillId="35" borderId="16" xfId="153" applyFont="1" applyFill="1" applyBorder="1" applyAlignment="1" applyProtection="1">
      <alignment horizontal="left" vertical="top"/>
      <protection locked="0"/>
    </xf>
    <xf numFmtId="3" fontId="34" fillId="35" borderId="16" xfId="135" applyNumberFormat="1" applyFont="1" applyFill="1" applyBorder="1" applyAlignment="1" applyProtection="1">
      <alignment vertical="top"/>
      <protection locked="0"/>
    </xf>
    <xf numFmtId="0" fontId="34" fillId="0" borderId="12" xfId="153" applyFont="1" applyFill="1" applyBorder="1" applyAlignment="1" applyProtection="1">
      <alignment horizontal="left" vertical="top" wrapText="1"/>
      <protection locked="0"/>
    </xf>
    <xf numFmtId="0" fontId="34" fillId="0" borderId="15" xfId="153" applyFont="1" applyFill="1" applyBorder="1" applyAlignment="1" applyProtection="1">
      <alignment horizontal="left" vertical="top"/>
      <protection locked="0"/>
    </xf>
    <xf numFmtId="3" fontId="34" fillId="0" borderId="16" xfId="135" applyNumberFormat="1" applyFont="1" applyFill="1" applyBorder="1" applyAlignment="1" applyProtection="1">
      <alignment vertical="top"/>
      <protection locked="0"/>
    </xf>
    <xf numFmtId="3" fontId="13" fillId="0" borderId="16" xfId="135" applyNumberFormat="1" applyFont="1" applyFill="1" applyBorder="1" applyAlignment="1" applyProtection="1">
      <alignment vertical="top"/>
      <protection locked="0"/>
    </xf>
    <xf numFmtId="0" fontId="32" fillId="0" borderId="16" xfId="153" applyFont="1" applyFill="1" applyBorder="1" applyAlignment="1" applyProtection="1">
      <alignment horizontal="left" vertical="top" wrapText="1" indent="2"/>
      <protection locked="0"/>
    </xf>
    <xf numFmtId="0" fontId="32" fillId="0" borderId="16" xfId="153" applyFont="1" applyFill="1" applyBorder="1" applyAlignment="1" applyProtection="1">
      <alignment horizontal="left" vertical="top"/>
      <protection locked="0"/>
    </xf>
    <xf numFmtId="3" fontId="32" fillId="0" borderId="18" xfId="49" applyNumberFormat="1" applyFont="1" applyFill="1" applyBorder="1" applyAlignment="1" applyProtection="1">
      <alignment vertical="top"/>
      <protection locked="0"/>
    </xf>
    <xf numFmtId="3" fontId="32" fillId="0" borderId="16" xfId="135" applyNumberFormat="1" applyFont="1" applyFill="1" applyBorder="1" applyAlignment="1" applyProtection="1">
      <alignment vertical="top"/>
      <protection locked="0"/>
    </xf>
    <xf numFmtId="0" fontId="32" fillId="0" borderId="12" xfId="153" applyFont="1" applyFill="1" applyBorder="1" applyAlignment="1" applyProtection="1">
      <alignment horizontal="right" vertical="top" wrapText="1"/>
      <protection locked="0"/>
    </xf>
    <xf numFmtId="0" fontId="32" fillId="0" borderId="17" xfId="153" applyFont="1" applyFill="1" applyBorder="1" applyAlignment="1" applyProtection="1">
      <alignment horizontal="left" vertical="top"/>
      <protection locked="0"/>
    </xf>
    <xf numFmtId="3" fontId="32" fillId="0" borderId="18" xfId="153" applyNumberFormat="1" applyFont="1" applyFill="1" applyBorder="1" applyAlignment="1" applyProtection="1">
      <alignment vertical="top"/>
      <protection locked="0"/>
    </xf>
    <xf numFmtId="0" fontId="32" fillId="0" borderId="15" xfId="153" applyFont="1" applyFill="1" applyBorder="1" applyAlignment="1" applyProtection="1">
      <alignment horizontal="left" vertical="top" wrapText="1" indent="2"/>
      <protection locked="0"/>
    </xf>
    <xf numFmtId="0" fontId="32" fillId="0" borderId="13" xfId="153" applyFont="1" applyFill="1" applyBorder="1" applyAlignment="1" applyProtection="1">
      <alignment horizontal="left" vertical="top"/>
      <protection locked="0"/>
    </xf>
    <xf numFmtId="3" fontId="32" fillId="0" borderId="20" xfId="153" applyNumberFormat="1" applyFont="1" applyFill="1" applyBorder="1" applyAlignment="1" applyProtection="1">
      <alignment vertical="top"/>
      <protection locked="0"/>
    </xf>
    <xf numFmtId="0" fontId="32" fillId="0" borderId="15" xfId="135" applyFont="1" applyFill="1" applyBorder="1" applyAlignment="1" applyProtection="1">
      <alignment horizontal="left" vertical="top" wrapText="1" indent="2"/>
      <protection locked="0"/>
    </xf>
    <xf numFmtId="0" fontId="32" fillId="0" borderId="16" xfId="135" applyFont="1" applyFill="1" applyBorder="1" applyAlignment="1" applyProtection="1">
      <alignment horizontal="left" vertical="top"/>
      <protection locked="0"/>
    </xf>
    <xf numFmtId="0" fontId="32" fillId="0" borderId="16" xfId="153" applyFont="1" applyFill="1" applyBorder="1" applyAlignment="1" applyProtection="1">
      <alignment horizontal="left" vertical="top" indent="2"/>
      <protection locked="0"/>
    </xf>
    <xf numFmtId="3" fontId="32" fillId="0" borderId="17" xfId="149" applyNumberFormat="1" applyFont="1" applyFill="1" applyBorder="1" applyAlignment="1" applyProtection="1">
      <alignment horizontal="right" vertical="top"/>
      <protection locked="0"/>
    </xf>
    <xf numFmtId="0" fontId="32" fillId="0" borderId="15" xfId="135" applyFont="1" applyFill="1" applyBorder="1" applyAlignment="1" applyProtection="1">
      <alignment horizontal="left" vertical="top"/>
      <protection locked="0"/>
    </xf>
    <xf numFmtId="0" fontId="34" fillId="0" borderId="15" xfId="153" applyFont="1" applyFill="1" applyBorder="1" applyAlignment="1" applyProtection="1">
      <alignment horizontal="left" vertical="top" wrapText="1"/>
      <protection locked="0"/>
    </xf>
    <xf numFmtId="3" fontId="34" fillId="0" borderId="17" xfId="149" applyNumberFormat="1" applyFont="1" applyFill="1" applyBorder="1" applyAlignment="1" applyProtection="1">
      <alignment horizontal="right" vertical="top"/>
      <protection locked="0"/>
    </xf>
    <xf numFmtId="0" fontId="32" fillId="0" borderId="16" xfId="153" applyFont="1" applyFill="1" applyBorder="1" applyAlignment="1" applyProtection="1">
      <alignment horizontal="left" vertical="top" wrapText="1" indent="4"/>
      <protection locked="0"/>
    </xf>
    <xf numFmtId="0" fontId="32" fillId="0" borderId="16" xfId="153" applyFont="1" applyFill="1" applyBorder="1" applyAlignment="1" applyProtection="1">
      <alignment horizontal="left" vertical="top" indent="4"/>
      <protection locked="0"/>
    </xf>
    <xf numFmtId="3" fontId="32" fillId="0" borderId="13" xfId="149" applyNumberFormat="1" applyFont="1" applyFill="1" applyBorder="1" applyAlignment="1" applyProtection="1">
      <alignment horizontal="right" vertical="top"/>
      <protection locked="0"/>
    </xf>
    <xf numFmtId="3" fontId="32" fillId="0" borderId="15" xfId="135" applyNumberFormat="1" applyFont="1" applyFill="1" applyBorder="1" applyAlignment="1" applyProtection="1">
      <alignment vertical="top"/>
      <protection locked="0"/>
    </xf>
    <xf numFmtId="3" fontId="32" fillId="0" borderId="15" xfId="149" applyNumberFormat="1" applyFont="1" applyFill="1" applyBorder="1" applyAlignment="1" applyProtection="1">
      <alignment horizontal="right" vertical="top"/>
      <protection locked="0"/>
    </xf>
    <xf numFmtId="0" fontId="34" fillId="35" borderId="16" xfId="135" applyFont="1" applyFill="1" applyBorder="1" applyAlignment="1" applyProtection="1">
      <alignment horizontal="left" vertical="top" wrapText="1"/>
      <protection locked="0"/>
    </xf>
    <xf numFmtId="0" fontId="34" fillId="35" borderId="16" xfId="135" applyFont="1" applyFill="1" applyBorder="1" applyAlignment="1" applyProtection="1">
      <alignment horizontal="left" vertical="top"/>
      <protection locked="0"/>
    </xf>
    <xf numFmtId="0" fontId="13" fillId="0" borderId="16" xfId="135" applyFont="1" applyFill="1" applyBorder="1" applyAlignment="1" applyProtection="1">
      <alignment horizontal="left" vertical="top"/>
      <protection locked="0"/>
    </xf>
    <xf numFmtId="0" fontId="13" fillId="0" borderId="12" xfId="153" applyFont="1" applyFill="1" applyBorder="1" applyAlignment="1" applyProtection="1">
      <alignment horizontal="right" vertical="top" wrapText="1"/>
      <protection locked="0"/>
    </xf>
    <xf numFmtId="3" fontId="13" fillId="0" borderId="15" xfId="43" applyNumberFormat="1" applyFont="1" applyFill="1" applyBorder="1" applyAlignment="1" applyProtection="1">
      <alignment vertical="top"/>
      <protection locked="0"/>
    </xf>
    <xf numFmtId="0" fontId="32" fillId="0" borderId="19" xfId="135" applyFont="1" applyFill="1" applyBorder="1" applyAlignment="1" applyProtection="1">
      <alignment horizontal="right" vertical="top" wrapText="1" indent="1"/>
      <protection locked="0"/>
    </xf>
    <xf numFmtId="3" fontId="32" fillId="0" borderId="18" xfId="135" applyNumberFormat="1" applyFont="1" applyFill="1" applyBorder="1" applyAlignment="1" applyProtection="1">
      <alignment vertical="top"/>
      <protection locked="0"/>
    </xf>
    <xf numFmtId="0" fontId="32" fillId="0" borderId="16" xfId="153" applyFont="1" applyFill="1" applyBorder="1" applyAlignment="1" applyProtection="1">
      <alignment horizontal="left" vertical="top" wrapText="1" indent="1"/>
      <protection locked="0"/>
    </xf>
    <xf numFmtId="0" fontId="13" fillId="0" borderId="19" xfId="153" applyFont="1" applyFill="1" applyBorder="1" applyAlignment="1" applyProtection="1">
      <alignment horizontal="left" vertical="top" wrapText="1"/>
      <protection locked="0"/>
    </xf>
    <xf numFmtId="0" fontId="13" fillId="0" borderId="17" xfId="135" applyFont="1" applyFill="1" applyBorder="1" applyAlignment="1" applyProtection="1">
      <alignment horizontal="left" vertical="top"/>
      <protection locked="0"/>
    </xf>
    <xf numFmtId="0" fontId="32" fillId="0" borderId="12" xfId="153" applyFont="1" applyFill="1" applyBorder="1" applyAlignment="1" applyProtection="1">
      <alignment horizontal="left" vertical="top" wrapText="1" indent="2"/>
      <protection locked="0"/>
    </xf>
    <xf numFmtId="3" fontId="32" fillId="0" borderId="16" xfId="135" applyNumberFormat="1" applyFont="1" applyFill="1" applyBorder="1" applyAlignment="1" applyProtection="1">
      <alignment horizontal="right" vertical="top"/>
      <protection locked="0"/>
    </xf>
    <xf numFmtId="0" fontId="13" fillId="0" borderId="15" xfId="148" applyFont="1" applyFill="1" applyBorder="1" applyAlignment="1" applyProtection="1">
      <alignment horizontal="left" vertical="top" wrapText="1"/>
      <protection locked="0"/>
    </xf>
    <xf numFmtId="0" fontId="13" fillId="0" borderId="15" xfId="148" applyFont="1" applyFill="1" applyBorder="1" applyAlignment="1" applyProtection="1">
      <alignment horizontal="left" wrapText="1"/>
      <protection locked="0"/>
    </xf>
    <xf numFmtId="0" fontId="13" fillId="0" borderId="12" xfId="135" applyFont="1" applyFill="1" applyBorder="1" applyAlignment="1" applyProtection="1">
      <alignment horizontal="left" vertical="top"/>
      <protection locked="0"/>
    </xf>
    <xf numFmtId="3" fontId="13" fillId="0" borderId="12" xfId="135" applyNumberFormat="1" applyFont="1" applyFill="1" applyBorder="1" applyAlignment="1" applyProtection="1">
      <alignment vertical="top"/>
      <protection locked="0"/>
    </xf>
    <xf numFmtId="0" fontId="13" fillId="0" borderId="12" xfId="135" applyFont="1" applyFill="1" applyBorder="1" applyAlignment="1" applyProtection="1">
      <alignment horizontal="left" vertical="top" wrapText="1"/>
      <protection locked="0"/>
    </xf>
    <xf numFmtId="0" fontId="13" fillId="0" borderId="0" xfId="43" applyFont="1" applyFill="1"/>
    <xf numFmtId="0" fontId="13" fillId="0" borderId="16" xfId="149" applyFont="1" applyFill="1" applyBorder="1" applyAlignment="1" applyProtection="1">
      <alignment horizontal="left" vertical="top" wrapText="1"/>
      <protection locked="0"/>
    </xf>
    <xf numFmtId="0" fontId="13" fillId="0" borderId="15" xfId="149" applyFont="1" applyFill="1" applyBorder="1" applyAlignment="1" applyProtection="1">
      <alignment horizontal="left" vertical="top"/>
      <protection locked="0"/>
    </xf>
    <xf numFmtId="3" fontId="13" fillId="0" borderId="13" xfId="149" applyNumberFormat="1" applyFont="1" applyFill="1" applyBorder="1" applyAlignment="1" applyProtection="1">
      <alignment horizontal="right" vertical="top"/>
      <protection locked="0"/>
    </xf>
    <xf numFmtId="3" fontId="13" fillId="0" borderId="15" xfId="149" applyNumberFormat="1" applyFont="1" applyFill="1" applyBorder="1" applyAlignment="1" applyProtection="1">
      <alignment horizontal="right" vertical="top"/>
      <protection locked="0"/>
    </xf>
    <xf numFmtId="0" fontId="13" fillId="0" borderId="11" xfId="149" applyFont="1" applyFill="1" applyBorder="1" applyAlignment="1" applyProtection="1">
      <alignment horizontal="left" vertical="top" wrapText="1"/>
      <protection locked="0"/>
    </xf>
    <xf numFmtId="0" fontId="13" fillId="0" borderId="16" xfId="149" applyFont="1" applyFill="1" applyBorder="1" applyAlignment="1" applyProtection="1">
      <alignment horizontal="left" vertical="top"/>
      <protection locked="0"/>
    </xf>
    <xf numFmtId="3" fontId="13" fillId="0" borderId="17" xfId="149" applyNumberFormat="1" applyFont="1" applyFill="1" applyBorder="1" applyAlignment="1" applyProtection="1">
      <alignment horizontal="right" vertical="top"/>
      <protection locked="0"/>
    </xf>
    <xf numFmtId="3" fontId="13" fillId="0" borderId="16" xfId="149" applyNumberFormat="1" applyFont="1" applyFill="1" applyBorder="1" applyAlignment="1" applyProtection="1">
      <alignment horizontal="right" vertical="top"/>
      <protection locked="0"/>
    </xf>
    <xf numFmtId="0" fontId="13" fillId="0" borderId="16" xfId="135" applyFont="1" applyFill="1" applyBorder="1" applyAlignment="1" applyProtection="1">
      <alignment horizontal="left" vertical="top" wrapText="1"/>
      <protection locked="0"/>
    </xf>
    <xf numFmtId="3" fontId="13" fillId="0" borderId="0" xfId="43" applyNumberFormat="1" applyFont="1" applyFill="1"/>
    <xf numFmtId="3" fontId="13" fillId="29" borderId="16" xfId="149" applyNumberFormat="1" applyFont="1" applyFill="1" applyBorder="1" applyAlignment="1" applyProtection="1">
      <alignment horizontal="right" vertical="top"/>
      <protection locked="0"/>
    </xf>
    <xf numFmtId="3" fontId="13" fillId="0" borderId="18" xfId="135" applyNumberFormat="1" applyFont="1" applyFill="1" applyBorder="1" applyAlignment="1" applyProtection="1">
      <alignment vertical="top"/>
      <protection locked="0"/>
    </xf>
    <xf numFmtId="0" fontId="13" fillId="0" borderId="19" xfId="135" applyFont="1" applyFill="1" applyBorder="1" applyAlignment="1" applyProtection="1">
      <alignment horizontal="right" vertical="top" wrapText="1"/>
      <protection locked="0"/>
    </xf>
    <xf numFmtId="0" fontId="13" fillId="0" borderId="15" xfId="135" applyFont="1" applyFill="1" applyBorder="1" applyAlignment="1" applyProtection="1">
      <alignment horizontal="left" vertical="top"/>
      <protection locked="0"/>
    </xf>
    <xf numFmtId="3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19" xfId="135" applyFont="1" applyFill="1" applyBorder="1" applyAlignment="1" applyProtection="1">
      <alignment horizontal="left" vertical="top" wrapText="1"/>
      <protection locked="0"/>
    </xf>
    <xf numFmtId="0" fontId="32" fillId="0" borderId="16" xfId="135" applyFont="1" applyFill="1" applyBorder="1" applyAlignment="1" applyProtection="1">
      <alignment horizontal="left" vertical="top" wrapText="1" indent="1"/>
      <protection locked="0"/>
    </xf>
    <xf numFmtId="0" fontId="32" fillId="0" borderId="16" xfId="135" applyFont="1" applyFill="1" applyBorder="1" applyAlignment="1" applyProtection="1">
      <alignment horizontal="left" wrapText="1" indent="2"/>
      <protection locked="0"/>
    </xf>
    <xf numFmtId="3" fontId="46" fillId="0" borderId="16" xfId="43" applyNumberFormat="1" applyFont="1" applyFill="1" applyBorder="1" applyAlignment="1" applyProtection="1">
      <alignment vertical="top"/>
      <protection locked="0"/>
    </xf>
    <xf numFmtId="3" fontId="13" fillId="0" borderId="16" xfId="43" applyNumberFormat="1" applyFont="1" applyFill="1" applyBorder="1" applyAlignment="1" applyProtection="1">
      <alignment vertical="top"/>
      <protection locked="0"/>
    </xf>
    <xf numFmtId="3" fontId="13" fillId="0" borderId="15" xfId="153" applyNumberFormat="1" applyFont="1" applyFill="1" applyBorder="1" applyAlignment="1" applyProtection="1">
      <alignment vertical="top"/>
      <protection locked="0"/>
    </xf>
    <xf numFmtId="3" fontId="32" fillId="0" borderId="16" xfId="43" applyNumberFormat="1" applyFont="1" applyFill="1" applyBorder="1" applyAlignment="1" applyProtection="1">
      <alignment vertical="top"/>
      <protection locked="0"/>
    </xf>
    <xf numFmtId="0" fontId="32" fillId="0" borderId="16" xfId="135" applyFont="1" applyFill="1" applyBorder="1" applyAlignment="1" applyProtection="1">
      <alignment horizontal="left" vertical="top" wrapText="1" indent="2"/>
      <protection locked="0"/>
    </xf>
    <xf numFmtId="0" fontId="13" fillId="0" borderId="16" xfId="43" applyFont="1" applyBorder="1"/>
    <xf numFmtId="0" fontId="13" fillId="0" borderId="16" xfId="43" applyFont="1" applyFill="1" applyBorder="1" applyAlignment="1">
      <alignment vertical="top"/>
    </xf>
    <xf numFmtId="3" fontId="34" fillId="35" borderId="16" xfId="153" applyNumberFormat="1" applyFont="1" applyFill="1" applyBorder="1" applyAlignment="1" applyProtection="1">
      <alignment vertical="top"/>
      <protection locked="0"/>
    </xf>
    <xf numFmtId="3" fontId="34" fillId="35" borderId="18" xfId="153" applyNumberFormat="1" applyFont="1" applyFill="1" applyBorder="1" applyAlignment="1" applyProtection="1">
      <alignment vertical="top"/>
      <protection locked="0"/>
    </xf>
    <xf numFmtId="3" fontId="13" fillId="0" borderId="16" xfId="49" applyNumberFormat="1" applyFont="1" applyFill="1" applyBorder="1" applyAlignment="1" applyProtection="1">
      <alignment vertical="top"/>
      <protection locked="0"/>
    </xf>
    <xf numFmtId="0" fontId="13" fillId="0" borderId="13" xfId="153" applyFont="1" applyFill="1" applyBorder="1" applyAlignment="1" applyProtection="1">
      <alignment horizontal="left" vertical="top"/>
      <protection locked="0"/>
    </xf>
    <xf numFmtId="3" fontId="13" fillId="0" borderId="12" xfId="49" applyNumberFormat="1" applyFont="1" applyFill="1" applyBorder="1" applyAlignment="1" applyProtection="1">
      <alignment vertical="top"/>
      <protection locked="0"/>
    </xf>
    <xf numFmtId="0" fontId="13" fillId="0" borderId="17" xfId="153" applyFont="1" applyFill="1" applyBorder="1" applyAlignment="1" applyProtection="1">
      <alignment horizontal="left" vertical="top"/>
      <protection locked="0"/>
    </xf>
    <xf numFmtId="0" fontId="32" fillId="0" borderId="0" xfId="0" applyFont="1" applyFill="1" applyBorder="1"/>
    <xf numFmtId="3" fontId="32" fillId="0" borderId="16" xfId="49" applyNumberFormat="1" applyFont="1" applyFill="1" applyBorder="1" applyAlignment="1" applyProtection="1">
      <alignment vertical="top"/>
      <protection locked="0"/>
    </xf>
    <xf numFmtId="3" fontId="112" fillId="0" borderId="16" xfId="0" applyNumberFormat="1" applyFont="1" applyBorder="1" applyAlignment="1">
      <alignment vertical="center" wrapText="1"/>
    </xf>
    <xf numFmtId="0" fontId="13" fillId="0" borderId="15" xfId="153" applyFont="1" applyFill="1" applyBorder="1" applyAlignment="1" applyProtection="1">
      <alignment horizontal="left" vertical="top"/>
      <protection locked="0"/>
    </xf>
    <xf numFmtId="0" fontId="32" fillId="0" borderId="15" xfId="135" applyFont="1" applyFill="1" applyBorder="1" applyAlignment="1" applyProtection="1">
      <alignment horizontal="right" vertical="top" wrapText="1"/>
      <protection locked="0"/>
    </xf>
    <xf numFmtId="0" fontId="32" fillId="0" borderId="15" xfId="153" applyFont="1" applyFill="1" applyBorder="1" applyAlignment="1" applyProtection="1">
      <alignment horizontal="left" vertical="top"/>
      <protection locked="0"/>
    </xf>
    <xf numFmtId="3" fontId="32" fillId="0" borderId="16" xfId="153" applyNumberFormat="1" applyFont="1" applyFill="1" applyBorder="1" applyAlignment="1" applyProtection="1">
      <alignment vertical="top"/>
      <protection locked="0"/>
    </xf>
    <xf numFmtId="3" fontId="32" fillId="0" borderId="16" xfId="49" applyNumberFormat="1" applyFont="1" applyFill="1" applyBorder="1" applyAlignment="1" applyProtection="1">
      <alignment horizontal="right" vertical="top"/>
      <protection locked="0"/>
    </xf>
    <xf numFmtId="0" fontId="13" fillId="0" borderId="19" xfId="153" applyFont="1" applyFill="1" applyBorder="1" applyAlignment="1" applyProtection="1">
      <alignment horizontal="right" vertical="top" wrapText="1"/>
      <protection locked="0"/>
    </xf>
    <xf numFmtId="3" fontId="13" fillId="0" borderId="11" xfId="153" applyNumberFormat="1" applyFont="1" applyFill="1" applyBorder="1" applyAlignment="1" applyProtection="1">
      <alignment vertical="top"/>
      <protection locked="0"/>
    </xf>
    <xf numFmtId="0" fontId="32" fillId="0" borderId="15" xfId="153" applyFont="1" applyFill="1" applyBorder="1" applyAlignment="1" applyProtection="1">
      <alignment horizontal="left" vertical="top" wrapText="1" indent="1"/>
      <protection locked="0"/>
    </xf>
    <xf numFmtId="3" fontId="32" fillId="0" borderId="11" xfId="153" applyNumberFormat="1" applyFont="1" applyFill="1" applyBorder="1" applyAlignment="1" applyProtection="1">
      <alignment vertical="top"/>
      <protection locked="0"/>
    </xf>
    <xf numFmtId="0" fontId="32" fillId="0" borderId="15" xfId="153" applyFont="1" applyFill="1" applyBorder="1" applyAlignment="1" applyProtection="1">
      <alignment horizontal="left" vertical="top" indent="2"/>
      <protection locked="0"/>
    </xf>
    <xf numFmtId="3" fontId="32" fillId="0" borderId="18" xfId="153" applyNumberFormat="1" applyFont="1" applyFill="1" applyBorder="1" applyAlignment="1" applyProtection="1">
      <alignment horizontal="right" vertical="top"/>
      <protection locked="0"/>
    </xf>
    <xf numFmtId="3" fontId="32" fillId="0" borderId="18" xfId="49" applyNumberFormat="1" applyFont="1" applyFill="1" applyBorder="1" applyAlignment="1" applyProtection="1">
      <alignment horizontal="right" vertical="top"/>
      <protection locked="0"/>
    </xf>
    <xf numFmtId="0" fontId="32" fillId="0" borderId="16" xfId="153" applyFont="1" applyFill="1" applyBorder="1" applyAlignment="1" applyProtection="1">
      <alignment horizontal="left" vertical="top" indent="1"/>
      <protection locked="0"/>
    </xf>
    <xf numFmtId="3" fontId="13" fillId="0" borderId="18" xfId="153" applyNumberFormat="1" applyFont="1" applyFill="1" applyBorder="1" applyAlignment="1" applyProtection="1">
      <alignment vertical="top"/>
      <protection locked="0"/>
    </xf>
    <xf numFmtId="0" fontId="32" fillId="0" borderId="15" xfId="153" applyFont="1" applyFill="1" applyBorder="1" applyAlignment="1" applyProtection="1">
      <alignment horizontal="left" vertical="top" indent="1"/>
      <protection locked="0"/>
    </xf>
    <xf numFmtId="3" fontId="32" fillId="0" borderId="15" xfId="153" applyNumberFormat="1" applyFont="1" applyFill="1" applyBorder="1" applyAlignment="1" applyProtection="1">
      <alignment vertical="top"/>
      <protection locked="0"/>
    </xf>
    <xf numFmtId="3" fontId="13" fillId="0" borderId="15" xfId="0" applyNumberFormat="1" applyFont="1" applyFill="1" applyBorder="1" applyAlignment="1" applyProtection="1">
      <alignment vertical="top"/>
      <protection locked="0"/>
    </xf>
    <xf numFmtId="3" fontId="54" fillId="0" borderId="11" xfId="153" applyNumberFormat="1" applyFont="1" applyFill="1" applyBorder="1" applyAlignment="1" applyProtection="1">
      <alignment vertical="top"/>
      <protection locked="0"/>
    </xf>
    <xf numFmtId="3" fontId="13" fillId="0" borderId="18" xfId="49" applyNumberFormat="1" applyFont="1" applyFill="1" applyBorder="1" applyAlignment="1" applyProtection="1">
      <alignment vertical="top"/>
      <protection locked="0"/>
    </xf>
    <xf numFmtId="3" fontId="13" fillId="0" borderId="11" xfId="0" applyNumberFormat="1" applyFont="1" applyFill="1" applyBorder="1" applyAlignment="1" applyProtection="1">
      <alignment vertical="top"/>
      <protection locked="0"/>
    </xf>
    <xf numFmtId="3" fontId="13" fillId="0" borderId="11" xfId="0" applyNumberFormat="1" applyFont="1" applyFill="1" applyBorder="1" applyAlignment="1" applyProtection="1">
      <alignment horizontal="right" vertical="top"/>
      <protection locked="0"/>
    </xf>
    <xf numFmtId="3" fontId="34" fillId="35" borderId="15" xfId="157" applyNumberFormat="1" applyFont="1" applyFill="1" applyBorder="1" applyAlignment="1" applyProtection="1">
      <alignment vertical="top"/>
      <protection locked="0"/>
    </xf>
    <xf numFmtId="3" fontId="13" fillId="0" borderId="20" xfId="153" applyNumberFormat="1" applyFont="1" applyFill="1" applyBorder="1" applyAlignment="1" applyProtection="1">
      <alignment vertical="top"/>
      <protection locked="0"/>
    </xf>
    <xf numFmtId="0" fontId="32" fillId="0" borderId="15" xfId="135" applyFont="1" applyFill="1" applyBorder="1" applyAlignment="1" applyProtection="1">
      <alignment horizontal="right" vertical="top" wrapText="1" indent="1"/>
      <protection locked="0"/>
    </xf>
    <xf numFmtId="3" fontId="54" fillId="0" borderId="20" xfId="153" applyNumberFormat="1" applyFont="1" applyFill="1" applyBorder="1" applyAlignment="1" applyProtection="1">
      <alignment vertical="top"/>
      <protection locked="0"/>
    </xf>
    <xf numFmtId="0" fontId="13" fillId="0" borderId="15" xfId="135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right" vertical="top" wrapText="1"/>
      <protection locked="0"/>
    </xf>
    <xf numFmtId="0" fontId="13" fillId="0" borderId="19" xfId="0" applyFont="1" applyFill="1" applyBorder="1" applyAlignment="1" applyProtection="1">
      <alignment horizontal="left" vertical="top" wrapText="1"/>
      <protection locked="0"/>
    </xf>
    <xf numFmtId="0" fontId="32" fillId="0" borderId="15" xfId="0" applyFont="1" applyFill="1" applyBorder="1" applyAlignment="1" applyProtection="1">
      <alignment horizontal="left" vertical="top" wrapText="1" indent="2"/>
      <protection locked="0"/>
    </xf>
    <xf numFmtId="0" fontId="32" fillId="0" borderId="16" xfId="0" applyFont="1" applyFill="1" applyBorder="1" applyAlignment="1" applyProtection="1">
      <alignment horizontal="left" vertical="top"/>
      <protection locked="0"/>
    </xf>
    <xf numFmtId="3" fontId="32" fillId="0" borderId="11" xfId="0" applyNumberFormat="1" applyFont="1" applyFill="1" applyBorder="1" applyAlignment="1" applyProtection="1">
      <alignment vertical="top"/>
      <protection locked="0"/>
    </xf>
    <xf numFmtId="3" fontId="32" fillId="0" borderId="15" xfId="0" applyNumberFormat="1" applyFont="1" applyFill="1" applyBorder="1" applyAlignment="1" applyProtection="1">
      <alignment vertical="top"/>
      <protection locked="0"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 applyAlignment="1" applyProtection="1">
      <alignment horizontal="left" vertical="top"/>
      <protection locked="0"/>
    </xf>
    <xf numFmtId="3" fontId="13" fillId="0" borderId="16" xfId="0" applyNumberFormat="1" applyFont="1" applyFill="1" applyBorder="1" applyAlignment="1">
      <alignment vertical="top"/>
    </xf>
    <xf numFmtId="0" fontId="13" fillId="0" borderId="16" xfId="0" applyFont="1" applyFill="1" applyBorder="1"/>
    <xf numFmtId="0" fontId="92" fillId="0" borderId="0" xfId="0" applyFont="1" applyFill="1" applyBorder="1" applyAlignment="1">
      <alignment vertical="top"/>
    </xf>
    <xf numFmtId="0" fontId="32" fillId="0" borderId="16" xfId="0" applyFont="1" applyFill="1" applyBorder="1" applyAlignment="1">
      <alignment horizontal="left" indent="1"/>
    </xf>
    <xf numFmtId="3" fontId="32" fillId="0" borderId="16" xfId="0" applyNumberFormat="1" applyFont="1" applyFill="1" applyBorder="1" applyAlignment="1">
      <alignment vertical="top"/>
    </xf>
    <xf numFmtId="0" fontId="32" fillId="0" borderId="15" xfId="154" applyFont="1" applyFill="1" applyBorder="1" applyAlignment="1" applyProtection="1">
      <alignment horizontal="left" vertical="top" wrapText="1" indent="2"/>
      <protection locked="0"/>
    </xf>
    <xf numFmtId="0" fontId="32" fillId="0" borderId="15" xfId="154" applyFont="1" applyFill="1" applyBorder="1" applyAlignment="1" applyProtection="1">
      <alignment horizontal="left" vertical="top"/>
      <protection locked="0"/>
    </xf>
    <xf numFmtId="0" fontId="34" fillId="35" borderId="15" xfId="135" applyFont="1" applyFill="1" applyBorder="1" applyAlignment="1" applyProtection="1">
      <alignment horizontal="left" vertical="top" wrapText="1"/>
      <protection locked="0"/>
    </xf>
    <xf numFmtId="0" fontId="34" fillId="35" borderId="15" xfId="135" applyFont="1" applyFill="1" applyBorder="1" applyAlignment="1" applyProtection="1">
      <alignment horizontal="left" vertical="top"/>
      <protection locked="0"/>
    </xf>
    <xf numFmtId="3" fontId="34" fillId="35" borderId="15" xfId="153" applyNumberFormat="1" applyFont="1" applyFill="1" applyBorder="1" applyAlignment="1" applyProtection="1">
      <alignment vertical="top"/>
      <protection locked="0"/>
    </xf>
    <xf numFmtId="0" fontId="13" fillId="0" borderId="12" xfId="135" applyFont="1" applyFill="1" applyBorder="1" applyAlignment="1" applyProtection="1">
      <alignment horizontal="left" wrapText="1"/>
      <protection locked="0"/>
    </xf>
    <xf numFmtId="0" fontId="13" fillId="0" borderId="12" xfId="135" applyFont="1" applyFill="1" applyBorder="1" applyAlignment="1" applyProtection="1">
      <alignment horizontal="right" vertical="top" wrapText="1"/>
      <protection locked="0"/>
    </xf>
    <xf numFmtId="3" fontId="13" fillId="0" borderId="18" xfId="0" applyNumberFormat="1" applyFont="1" applyFill="1" applyBorder="1" applyAlignment="1">
      <alignment vertical="top"/>
    </xf>
    <xf numFmtId="0" fontId="52" fillId="0" borderId="16" xfId="0" applyFont="1" applyFill="1" applyBorder="1" applyAlignment="1" applyProtection="1">
      <alignment horizontal="left" vertical="top" wrapText="1"/>
      <protection locked="0"/>
    </xf>
    <xf numFmtId="0" fontId="52" fillId="0" borderId="16" xfId="0" applyFont="1" applyFill="1" applyBorder="1" applyAlignment="1" applyProtection="1">
      <alignment horizontal="left" vertical="top"/>
      <protection locked="0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32" fillId="0" borderId="15" xfId="153" applyFont="1" applyFill="1" applyBorder="1" applyAlignment="1" applyProtection="1">
      <alignment horizontal="left" vertical="top" wrapText="1"/>
      <protection locked="0"/>
    </xf>
    <xf numFmtId="0" fontId="34" fillId="35" borderId="15" xfId="153" applyFont="1" applyFill="1" applyBorder="1" applyAlignment="1" applyProtection="1">
      <alignment horizontal="left" vertical="top"/>
      <protection locked="0"/>
    </xf>
    <xf numFmtId="0" fontId="32" fillId="0" borderId="15" xfId="135" applyFont="1" applyFill="1" applyBorder="1" applyAlignment="1" applyProtection="1">
      <alignment horizontal="left" vertical="top" wrapText="1" inden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</xf>
    <xf numFmtId="3" fontId="13" fillId="0" borderId="0" xfId="0" applyNumberFormat="1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left" vertical="top"/>
      <protection locked="0"/>
    </xf>
    <xf numFmtId="3" fontId="13" fillId="0" borderId="0" xfId="135" applyNumberFormat="1" applyFont="1" applyFill="1" applyBorder="1" applyAlignment="1" applyProtection="1">
      <alignment vertical="top"/>
      <protection locked="0"/>
    </xf>
    <xf numFmtId="3" fontId="34" fillId="0" borderId="0" xfId="43" applyNumberFormat="1" applyFont="1"/>
    <xf numFmtId="3" fontId="34" fillId="0" borderId="14" xfId="43" applyNumberFormat="1" applyFont="1" applyFill="1" applyBorder="1" applyAlignment="1" applyProtection="1">
      <alignment horizontal="center" vertical="top" wrapText="1"/>
    </xf>
    <xf numFmtId="49" fontId="93" fillId="0" borderId="14" xfId="87" applyNumberFormat="1" applyFont="1" applyFill="1" applyBorder="1" applyAlignment="1">
      <alignment horizontal="right" vertical="top" wrapText="1"/>
    </xf>
    <xf numFmtId="0" fontId="113" fillId="0" borderId="0" xfId="224" applyAlignment="1">
      <alignment vertical="center"/>
    </xf>
  </cellXfs>
  <cellStyles count="225">
    <cellStyle name="20% - Accent1" xfId="1" builtinId="30" customBuiltin="1"/>
    <cellStyle name="20% - Accent1 2" xfId="52"/>
    <cellStyle name="20% - Accent1 4" xfId="167"/>
    <cellStyle name="20% - Accent1 4 2" xfId="215"/>
    <cellStyle name="20% - Accent2" xfId="2" builtinId="34" customBuiltin="1"/>
    <cellStyle name="20% - Accent2 2" xfId="53"/>
    <cellStyle name="20% - Accent3" xfId="3" builtinId="38" customBuiltin="1"/>
    <cellStyle name="20% - Accent3 2" xfId="54"/>
    <cellStyle name="20% - Accent4" xfId="4" builtinId="42" customBuiltin="1"/>
    <cellStyle name="20% - Accent4 2" xfId="55"/>
    <cellStyle name="20% - Accent5" xfId="5" builtinId="46" customBuiltin="1"/>
    <cellStyle name="20% - Accent5 2" xfId="56"/>
    <cellStyle name="20% - Accent6" xfId="6" builtinId="50" customBuiltin="1"/>
    <cellStyle name="20% - Accent6 2" xfId="57"/>
    <cellStyle name="40% - Accent1" xfId="7" builtinId="31" customBuiltin="1"/>
    <cellStyle name="40% - Accent1 2" xfId="58"/>
    <cellStyle name="40% - Accent2" xfId="8" builtinId="35" customBuiltin="1"/>
    <cellStyle name="40% - Accent2 2" xfId="59"/>
    <cellStyle name="40% - Accent3" xfId="9" builtinId="39" customBuiltin="1"/>
    <cellStyle name="40% - Accent3 2" xfId="60"/>
    <cellStyle name="40% - Accent4" xfId="10" builtinId="43" customBuiltin="1"/>
    <cellStyle name="40% - Accent4 2" xfId="61"/>
    <cellStyle name="40% - Accent5" xfId="11" builtinId="47" customBuiltin="1"/>
    <cellStyle name="40% - Accent5 2" xfId="62"/>
    <cellStyle name="40% - Accent6" xfId="12" builtinId="51" customBuiltin="1"/>
    <cellStyle name="40% - Accent6 2" xfId="63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Bad 3" xfId="16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omma 5" xfId="168"/>
    <cellStyle name="Comma 5 2" xfId="216"/>
    <cellStyle name="Currency 2" xfId="87"/>
    <cellStyle name="Explanatory Text" xfId="26" builtinId="53" customBuiltin="1"/>
    <cellStyle name="Explanatory Text 2" xfId="88"/>
    <cellStyle name="Good" xfId="44" builtinId="26" customBuiltin="1"/>
    <cellStyle name="Good 2" xfId="89"/>
    <cellStyle name="Good 4" xfId="165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yperlink" xfId="224" builtinId="8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l" xfId="0" builtinId="0"/>
    <cellStyle name="Normal 10" xfId="146"/>
    <cellStyle name="Normal 10 2" xfId="203"/>
    <cellStyle name="Normal 11" xfId="147"/>
    <cellStyle name="Normal 11 2" xfId="204"/>
    <cellStyle name="Normal 12" xfId="151"/>
    <cellStyle name="Normal 12 2" xfId="158"/>
    <cellStyle name="Normal 12 2 2" xfId="208"/>
    <cellStyle name="Normal 13" xfId="222"/>
    <cellStyle name="Normal 13 2" xfId="148"/>
    <cellStyle name="Normal 13 2 2" xfId="161"/>
    <cellStyle name="Normal 13 2 2 2" xfId="211"/>
    <cellStyle name="Normal 14" xfId="171"/>
    <cellStyle name="Normal 14 2" xfId="172"/>
    <cellStyle name="Normal 14 2 2" xfId="220"/>
    <cellStyle name="Normal 14 3" xfId="219"/>
    <cellStyle name="Normal 15" xfId="160"/>
    <cellStyle name="Normal 15 2" xfId="210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4 2 2" xfId="176"/>
    <cellStyle name="Normal 2 4 3" xfId="175"/>
    <cellStyle name="Normal 2 5" xfId="103"/>
    <cellStyle name="Normal 2 6" xfId="104"/>
    <cellStyle name="Normal 3" xfId="50"/>
    <cellStyle name="Normal 3 10" xfId="105"/>
    <cellStyle name="Normal 3 10 2" xfId="106"/>
    <cellStyle name="Normal 3 10 2 2" xfId="178"/>
    <cellStyle name="Normal 3 10 3" xfId="177"/>
    <cellStyle name="Normal 3 11" xfId="107"/>
    <cellStyle name="Normal 3 11 2" xfId="108"/>
    <cellStyle name="Normal 3 11 2 2" xfId="180"/>
    <cellStyle name="Normal 3 11 3" xfId="179"/>
    <cellStyle name="Normal 3 12" xfId="109"/>
    <cellStyle name="Normal 3 12 2" xfId="181"/>
    <cellStyle name="Normal 3 13" xfId="110"/>
    <cellStyle name="Normal 3 13 2" xfId="182"/>
    <cellStyle name="Normal 3 14" xfId="163"/>
    <cellStyle name="Normal 3 14 2" xfId="213"/>
    <cellStyle name="Normal 3 15" xfId="173"/>
    <cellStyle name="Normal 3 15 2" xfId="221"/>
    <cellStyle name="Normal 3 2" xfId="111"/>
    <cellStyle name="Normal 3 2 2" xfId="112"/>
    <cellStyle name="Normal 3 2 3" xfId="113"/>
    <cellStyle name="Normal 3 2 3 2" xfId="184"/>
    <cellStyle name="Normal 3 2 4" xfId="183"/>
    <cellStyle name="Normal 3 3" xfId="114"/>
    <cellStyle name="Normal 3 3 2" xfId="115"/>
    <cellStyle name="Normal 3 3 2 2" xfId="186"/>
    <cellStyle name="Normal 3 3 3" xfId="185"/>
    <cellStyle name="Normal 3 4" xfId="116"/>
    <cellStyle name="Normal 3 4 2" xfId="117"/>
    <cellStyle name="Normal 3 4 2 2" xfId="188"/>
    <cellStyle name="Normal 3 4 3" xfId="187"/>
    <cellStyle name="Normal 3 5" xfId="118"/>
    <cellStyle name="Normal 3 5 2" xfId="119"/>
    <cellStyle name="Normal 3 5 2 2" xfId="190"/>
    <cellStyle name="Normal 3 5 3" xfId="189"/>
    <cellStyle name="Normal 3 6" xfId="120"/>
    <cellStyle name="Normal 3 7" xfId="121"/>
    <cellStyle name="Normal 3 8" xfId="122"/>
    <cellStyle name="Normal 3 8 2" xfId="123"/>
    <cellStyle name="Normal 3 8 2 2" xfId="192"/>
    <cellStyle name="Normal 3 8 3" xfId="191"/>
    <cellStyle name="Normal 3 9" xfId="124"/>
    <cellStyle name="Normal 3 9 2" xfId="125"/>
    <cellStyle name="Normal 3 9 2 2" xfId="194"/>
    <cellStyle name="Normal 3 9 3" xfId="193"/>
    <cellStyle name="Normal 4" xfId="126"/>
    <cellStyle name="Normal 4 2" xfId="127"/>
    <cellStyle name="Normal 4 3" xfId="195"/>
    <cellStyle name="Normal 5" xfId="128"/>
    <cellStyle name="Normal 5 2" xfId="129"/>
    <cellStyle name="Normal 5 2 2" xfId="130"/>
    <cellStyle name="Normal 5 2 2 2" xfId="198"/>
    <cellStyle name="Normal 5 2 3" xfId="197"/>
    <cellStyle name="Normal 5 3" xfId="131"/>
    <cellStyle name="Normal 5 3 2" xfId="199"/>
    <cellStyle name="Normal 5 4" xfId="196"/>
    <cellStyle name="Normal 6" xfId="132"/>
    <cellStyle name="Normal 7" xfId="133"/>
    <cellStyle name="Normal 7 2" xfId="134"/>
    <cellStyle name="Normal 7 2 2" xfId="201"/>
    <cellStyle name="Normal 7 3" xfId="200"/>
    <cellStyle name="Normal 8" xfId="135"/>
    <cellStyle name="Normal 8 2" xfId="202"/>
    <cellStyle name="Normal 8 6" xfId="152"/>
    <cellStyle name="Normal 8 6 2" xfId="154"/>
    <cellStyle name="Normal 8 6 2 2" xfId="157"/>
    <cellStyle name="Normal 8 6 2 2 2" xfId="170"/>
    <cellStyle name="Normal 8 6 2 2 2 2" xfId="218"/>
    <cellStyle name="Normal 8 6 2 2 3" xfId="207"/>
    <cellStyle name="Normal 8 6 2 2 4" xfId="164"/>
    <cellStyle name="Normal 8 6 2 2 4 2" xfId="214"/>
    <cellStyle name="Normal 8 6 2 3" xfId="206"/>
    <cellStyle name="Normal 8 6 3" xfId="169"/>
    <cellStyle name="Normal 8 6 3 2" xfId="217"/>
    <cellStyle name="Normal 8 6 4" xfId="205"/>
    <cellStyle name="Normal 8 7" xfId="153"/>
    <cellStyle name="Normal 9" xfId="136"/>
    <cellStyle name="Normal_2002 määrus lisa 5" xfId="35"/>
    <cellStyle name="Normal_2002 määrus lisa 5 2" xfId="155"/>
    <cellStyle name="Normal_2002 määrus lisa 5 4" xfId="223"/>
    <cellStyle name="Normal_2002 määrus lisa 5_Lisad 22.02.11 II" xfId="36"/>
    <cellStyle name="Normal_vorm 1 koond" xfId="156"/>
    <cellStyle name="Normal_vorm 1 koond_Lisad 22.02.11 II" xfId="37"/>
    <cellStyle name="Note" xfId="38" builtinId="10" customBuiltin="1"/>
    <cellStyle name="Note 2" xfId="137"/>
    <cellStyle name="Note 3" xfId="145"/>
    <cellStyle name="Note 4" xfId="51"/>
    <cellStyle name="Output" xfId="39" builtinId="21" customBuiltin="1"/>
    <cellStyle name="Output 2" xfId="138"/>
    <cellStyle name="Percent" xfId="150" builtinId="5"/>
    <cellStyle name="Percent 2" xfId="46"/>
    <cellStyle name="Percent 3" xfId="139"/>
    <cellStyle name="Percent 4" xfId="159"/>
    <cellStyle name="Percent 4 2" xfId="209"/>
    <cellStyle name="Percent 5 2 4" xfId="162"/>
    <cellStyle name="Percent 5 2 4 2" xfId="212"/>
    <cellStyle name="Percent 6" xfId="174"/>
    <cellStyle name="Rõhk5 2" xfId="140"/>
    <cellStyle name="Rõhk6 2" xfId="141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colors>
    <mruColors>
      <color rgb="FFFFFF99"/>
      <color rgb="FFFFFFCC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8/T&#228;psustatud%20eelarve/Koond%2012.11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8/LEA%20I/L&#213;PLIK/m-16-lis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KOONDEELARVE"/>
      <sheetName val="2 TULUDE KOOND"/>
      <sheetName val="2.1 LK TULUD"/>
      <sheetName val="Sheet2"/>
      <sheetName val="2.2 OMATULUD"/>
      <sheetName val="2.3 TOETUSED"/>
      <sheetName val="3 KULUD"/>
      <sheetName val="4 INVEST"/>
      <sheetName val="5 FIN.TEH"/>
      <sheetName val="6 RAHAKÄIVE"/>
      <sheetName val="7 LIIGENDUS"/>
      <sheetName val="Valdkonna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27484</v>
          </cell>
        </row>
        <row r="10">
          <cell r="B10">
            <v>662410</v>
          </cell>
        </row>
        <row r="18">
          <cell r="B18">
            <v>33066</v>
          </cell>
        </row>
        <row r="25">
          <cell r="B25">
            <v>210938</v>
          </cell>
        </row>
        <row r="33">
          <cell r="B33">
            <v>27724645</v>
          </cell>
          <cell r="D33">
            <v>979760</v>
          </cell>
        </row>
        <row r="101">
          <cell r="B101">
            <v>4960000</v>
          </cell>
          <cell r="D101">
            <v>345000</v>
          </cell>
        </row>
        <row r="207">
          <cell r="B207">
            <v>5703674</v>
          </cell>
        </row>
        <row r="295">
          <cell r="B295">
            <v>13240778</v>
          </cell>
          <cell r="D295">
            <v>1097767</v>
          </cell>
        </row>
        <row r="381">
          <cell r="B381">
            <v>3617640</v>
          </cell>
        </row>
        <row r="393">
          <cell r="B393">
            <v>1194800</v>
          </cell>
          <cell r="D393">
            <v>406520</v>
          </cell>
        </row>
        <row r="410">
          <cell r="B410">
            <v>1351873</v>
          </cell>
        </row>
        <row r="420">
          <cell r="B420">
            <v>721881</v>
          </cell>
        </row>
        <row r="441">
          <cell r="B441">
            <v>6748914</v>
          </cell>
        </row>
        <row r="471">
          <cell r="B471">
            <v>9600</v>
          </cell>
        </row>
        <row r="477">
          <cell r="B477">
            <v>393770</v>
          </cell>
        </row>
        <row r="507">
          <cell r="B507">
            <v>4542230</v>
          </cell>
        </row>
        <row r="552">
          <cell r="B552">
            <v>287596</v>
          </cell>
        </row>
        <row r="578">
          <cell r="B578">
            <v>1351890</v>
          </cell>
        </row>
        <row r="640">
          <cell r="B640">
            <v>620600</v>
          </cell>
        </row>
        <row r="676">
          <cell r="B676">
            <v>698680</v>
          </cell>
        </row>
        <row r="734">
          <cell r="B734">
            <v>244480</v>
          </cell>
        </row>
        <row r="765">
          <cell r="B765">
            <v>1108020</v>
          </cell>
        </row>
      </sheetData>
      <sheetData sheetId="5">
        <row r="48">
          <cell r="C48">
            <v>41508</v>
          </cell>
        </row>
        <row r="55">
          <cell r="B55">
            <v>62785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KOONDEELARVE"/>
      <sheetName val="2 TULUDE KOOND"/>
      <sheetName val="2.1 LK TULUD"/>
      <sheetName val="Sheet2"/>
      <sheetName val="2.2 OMATULUD"/>
      <sheetName val="2.3 TOETUSED"/>
      <sheetName val="3 KULUD"/>
      <sheetName val="4 INVEST"/>
      <sheetName val="5 FIN.TEH"/>
      <sheetName val="6 RAHAKÄIVE"/>
      <sheetName val="7 LIIGEND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E11">
            <v>35217662</v>
          </cell>
        </row>
        <row r="12">
          <cell r="E12">
            <v>33661203</v>
          </cell>
        </row>
        <row r="13">
          <cell r="E13">
            <v>-269820</v>
          </cell>
        </row>
        <row r="14">
          <cell r="E14">
            <v>777835</v>
          </cell>
        </row>
        <row r="15">
          <cell r="E15">
            <v>517364</v>
          </cell>
        </row>
        <row r="16">
          <cell r="E16">
            <v>531080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igusaktid.tallinn.ee/?id=3001&amp;aktid=137926&amp;fd=1&amp;leht=1&amp;q_sort=elex_akt.akt_vkp" TargetMode="External"/><Relationship Id="rId2" Type="http://schemas.openxmlformats.org/officeDocument/2006/relationships/hyperlink" Target="https://www.riigiteataja.ee/akt/428092018041" TargetMode="External"/><Relationship Id="rId1" Type="http://schemas.openxmlformats.org/officeDocument/2006/relationships/hyperlink" Target="https://oigusaktid.tallinn.ee/?id=3001&amp;aktid=137635&amp;fd=1&amp;leht=1&amp;q_sort=elex_akt.akt_vk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2.75"/>
  <sheetData>
    <row r="1" spans="1:1">
      <c r="A1" s="68" t="s">
        <v>1254</v>
      </c>
    </row>
    <row r="3" spans="1:1">
      <c r="A3" s="802" t="s">
        <v>1251</v>
      </c>
    </row>
    <row r="4" spans="1:1">
      <c r="A4" s="802" t="s">
        <v>1252</v>
      </c>
    </row>
    <row r="5" spans="1:1">
      <c r="A5" s="802" t="s">
        <v>1253</v>
      </c>
    </row>
  </sheetData>
  <hyperlinks>
    <hyperlink ref="A3" r:id="rId1" display="https://oigusaktid.tallinn.ee/?id=3001&amp;aktid=137635&amp;fd=1&amp;leht=1&amp;q_sort=elex_akt.akt_vkp"/>
    <hyperlink ref="A4" r:id="rId2" display="https://www.riigiteataja.ee/akt/428092018041"/>
    <hyperlink ref="A5" r:id="rId3" display="https://oigusaktid.tallinn.ee/?id=3001&amp;aktid=137926&amp;fd=1&amp;leht=1&amp;q_sort=elex_akt.akt_vkp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C30"/>
  <sheetViews>
    <sheetView showZeros="0" zoomScaleNormal="100" workbookViewId="0"/>
  </sheetViews>
  <sheetFormatPr defaultRowHeight="12.75"/>
  <cols>
    <col min="1" max="1" width="59.28515625" bestFit="1" customWidth="1"/>
    <col min="2" max="2" width="10.140625" style="69" bestFit="1" customWidth="1"/>
    <col min="3" max="3" width="11.5703125" style="69" customWidth="1"/>
  </cols>
  <sheetData>
    <row r="1" spans="1:3" ht="15">
      <c r="A1" s="32" t="s">
        <v>44</v>
      </c>
    </row>
    <row r="2" spans="1:3" s="96" customFormat="1" ht="12.75" customHeight="1">
      <c r="A2" s="32"/>
      <c r="B2" s="69"/>
      <c r="C2" s="69"/>
    </row>
    <row r="3" spans="1:3" ht="28.5" customHeight="1">
      <c r="B3" s="593">
        <v>2018</v>
      </c>
      <c r="C3" s="595"/>
    </row>
    <row r="4" spans="1:3" ht="28.5" customHeight="1">
      <c r="A4" s="30"/>
      <c r="B4" s="576" t="s">
        <v>835</v>
      </c>
      <c r="C4" s="577" t="s">
        <v>836</v>
      </c>
    </row>
    <row r="5" spans="1:3">
      <c r="A5" s="70" t="s">
        <v>45</v>
      </c>
      <c r="B5" s="174">
        <f>B6</f>
        <v>30000000</v>
      </c>
      <c r="C5" s="174">
        <f>C6</f>
        <v>30000000</v>
      </c>
    </row>
    <row r="6" spans="1:3">
      <c r="A6" s="71" t="s">
        <v>92</v>
      </c>
      <c r="B6" s="175">
        <v>30000000</v>
      </c>
      <c r="C6" s="175">
        <v>30000000</v>
      </c>
    </row>
    <row r="7" spans="1:3">
      <c r="A7" s="30"/>
      <c r="B7" s="175"/>
      <c r="C7" s="175"/>
    </row>
    <row r="8" spans="1:3">
      <c r="A8" s="70" t="s">
        <v>46</v>
      </c>
      <c r="B8" s="174">
        <f>B9</f>
        <v>18489583</v>
      </c>
      <c r="C8" s="174">
        <f>C9</f>
        <v>18489583</v>
      </c>
    </row>
    <row r="9" spans="1:3">
      <c r="A9" s="71" t="s">
        <v>92</v>
      </c>
      <c r="B9" s="175">
        <v>18489583</v>
      </c>
      <c r="C9" s="175">
        <v>18489583</v>
      </c>
    </row>
    <row r="10" spans="1:3">
      <c r="A10" s="71"/>
      <c r="B10" s="175"/>
      <c r="C10" s="175"/>
    </row>
    <row r="11" spans="1:3">
      <c r="A11" s="70" t="s">
        <v>86</v>
      </c>
      <c r="B11" s="174">
        <f>B13</f>
        <v>642637</v>
      </c>
      <c r="C11" s="174">
        <f>C13</f>
        <v>642637</v>
      </c>
    </row>
    <row r="12" spans="1:3">
      <c r="A12" s="73"/>
      <c r="B12" s="175"/>
      <c r="C12" s="175"/>
    </row>
    <row r="13" spans="1:3">
      <c r="A13" s="74" t="s">
        <v>122</v>
      </c>
      <c r="B13" s="175">
        <f>B14</f>
        <v>642637</v>
      </c>
      <c r="C13" s="175">
        <f>C14</f>
        <v>642637</v>
      </c>
    </row>
    <row r="14" spans="1:3">
      <c r="A14" s="73" t="s">
        <v>147</v>
      </c>
      <c r="B14" s="175">
        <v>642637</v>
      </c>
      <c r="C14" s="175">
        <v>642637</v>
      </c>
    </row>
    <row r="15" spans="1:3">
      <c r="A15" s="64"/>
      <c r="B15" s="75"/>
      <c r="C15" s="75"/>
    </row>
    <row r="16" spans="1:3">
      <c r="A16" s="64"/>
      <c r="B16" s="75"/>
      <c r="C16" s="75"/>
    </row>
    <row r="17" spans="1:3">
      <c r="A17" s="64"/>
      <c r="B17" s="75"/>
      <c r="C17" s="75"/>
    </row>
    <row r="18" spans="1:3">
      <c r="A18" s="64"/>
      <c r="B18" s="75"/>
      <c r="C18" s="75"/>
    </row>
    <row r="19" spans="1:3" ht="15">
      <c r="A19" s="30"/>
      <c r="B19" s="511"/>
      <c r="C19" s="511"/>
    </row>
    <row r="20" spans="1:3">
      <c r="A20" s="15"/>
    </row>
    <row r="30" spans="1:3" ht="15" customHeight="1"/>
  </sheetData>
  <mergeCells count="1">
    <mergeCell ref="B3:C3"/>
  </mergeCells>
  <phoneticPr fontId="36" type="noConversion"/>
  <pageMargins left="1.1811023622047245" right="0.47244094488188981" top="0.47244094488188981" bottom="0.98425196850393704" header="0.51181102362204722" footer="0.51181102362204722"/>
  <pageSetup paperSize="9" orientation="landscape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79998168889431442"/>
  </sheetPr>
  <dimension ref="A1:C41"/>
  <sheetViews>
    <sheetView zoomScaleNormal="100" workbookViewId="0"/>
  </sheetViews>
  <sheetFormatPr defaultRowHeight="12.75"/>
  <cols>
    <col min="1" max="1" width="43.140625" bestFit="1" customWidth="1"/>
    <col min="2" max="2" width="11.7109375" bestFit="1" customWidth="1"/>
    <col min="3" max="3" width="12.42578125" customWidth="1"/>
  </cols>
  <sheetData>
    <row r="1" spans="1:3" ht="15">
      <c r="A1" s="97" t="s">
        <v>30</v>
      </c>
      <c r="C1" s="98"/>
    </row>
    <row r="2" spans="1:3" s="96" customFormat="1" ht="12.75" customHeight="1">
      <c r="A2" s="97"/>
      <c r="C2" s="98"/>
    </row>
    <row r="3" spans="1:3" ht="24.75" customHeight="1">
      <c r="A3" s="65"/>
      <c r="B3" s="593">
        <v>2018</v>
      </c>
      <c r="C3" s="595"/>
    </row>
    <row r="4" spans="1:3" ht="25.5" customHeight="1">
      <c r="A4" s="65"/>
      <c r="B4" s="576" t="s">
        <v>835</v>
      </c>
      <c r="C4" s="577" t="s">
        <v>836</v>
      </c>
    </row>
    <row r="5" spans="1:3">
      <c r="A5" s="66" t="s">
        <v>31</v>
      </c>
      <c r="B5" s="62">
        <v>638910998</v>
      </c>
      <c r="C5" s="62">
        <v>671784334</v>
      </c>
    </row>
    <row r="6" spans="1:3">
      <c r="A6" s="66" t="s">
        <v>32</v>
      </c>
      <c r="B6" s="62">
        <v>515412109</v>
      </c>
      <c r="C6" s="62">
        <v>527738939</v>
      </c>
    </row>
    <row r="7" spans="1:3">
      <c r="A7" s="93" t="s">
        <v>151</v>
      </c>
      <c r="B7" s="94">
        <v>437595000</v>
      </c>
      <c r="C7" s="94">
        <v>445795000</v>
      </c>
    </row>
    <row r="8" spans="1:3">
      <c r="A8" s="93" t="s">
        <v>152</v>
      </c>
      <c r="B8" s="94">
        <v>400100000</v>
      </c>
      <c r="C8" s="94">
        <v>407200000</v>
      </c>
    </row>
    <row r="9" spans="1:3">
      <c r="A9" s="93" t="s">
        <v>153</v>
      </c>
      <c r="B9" s="94">
        <v>25730000</v>
      </c>
      <c r="C9" s="94">
        <v>26330000</v>
      </c>
    </row>
    <row r="10" spans="1:3">
      <c r="A10" s="95" t="s">
        <v>154</v>
      </c>
      <c r="B10" s="94">
        <v>11765000</v>
      </c>
      <c r="C10" s="94">
        <v>12265000</v>
      </c>
    </row>
    <row r="11" spans="1:3">
      <c r="A11" s="95" t="s">
        <v>155</v>
      </c>
      <c r="B11" s="94">
        <v>76128309</v>
      </c>
      <c r="C11" s="94">
        <v>80081355</v>
      </c>
    </row>
    <row r="12" spans="1:3">
      <c r="A12" s="95" t="s">
        <v>156</v>
      </c>
      <c r="B12" s="94">
        <v>1688800</v>
      </c>
      <c r="C12" s="94">
        <v>1862584</v>
      </c>
    </row>
    <row r="13" spans="1:3">
      <c r="A13" s="49" t="s">
        <v>33</v>
      </c>
      <c r="B13" s="62">
        <v>123498889</v>
      </c>
      <c r="C13" s="62">
        <v>144045395</v>
      </c>
    </row>
    <row r="14" spans="1:3">
      <c r="A14" s="95" t="s">
        <v>157</v>
      </c>
      <c r="B14" s="94">
        <v>93199352</v>
      </c>
      <c r="C14" s="94">
        <v>112703320</v>
      </c>
    </row>
    <row r="15" spans="1:3">
      <c r="A15" s="95" t="s">
        <v>158</v>
      </c>
      <c r="B15" s="94">
        <v>30299537</v>
      </c>
      <c r="C15" s="94">
        <v>31342075</v>
      </c>
    </row>
    <row r="16" spans="1:3">
      <c r="A16" s="49" t="s">
        <v>34</v>
      </c>
      <c r="B16" s="62">
        <v>-576665660</v>
      </c>
      <c r="C16" s="62">
        <v>-611763005</v>
      </c>
    </row>
    <row r="17" spans="1:3">
      <c r="A17" s="95" t="s">
        <v>159</v>
      </c>
      <c r="B17" s="94">
        <v>-572665660</v>
      </c>
      <c r="C17" s="94">
        <v>-607763005</v>
      </c>
    </row>
    <row r="18" spans="1:3">
      <c r="A18" s="95" t="s">
        <v>160</v>
      </c>
      <c r="B18" s="94">
        <v>-4000000</v>
      </c>
      <c r="C18" s="94">
        <v>-4000000</v>
      </c>
    </row>
    <row r="19" spans="1:3">
      <c r="A19" s="49" t="s">
        <v>35</v>
      </c>
      <c r="B19" s="62">
        <v>62245338</v>
      </c>
      <c r="C19" s="62">
        <v>60021329</v>
      </c>
    </row>
    <row r="20" spans="1:3">
      <c r="A20" s="95"/>
      <c r="B20" s="96"/>
      <c r="C20" s="96"/>
    </row>
    <row r="21" spans="1:3">
      <c r="A21" s="66" t="s">
        <v>36</v>
      </c>
      <c r="B21" s="62">
        <v>10084616</v>
      </c>
      <c r="C21" s="62">
        <v>11669671</v>
      </c>
    </row>
    <row r="22" spans="1:3">
      <c r="A22" s="100" t="s">
        <v>161</v>
      </c>
      <c r="B22" s="94">
        <v>2814616</v>
      </c>
      <c r="C22" s="94">
        <v>2819671</v>
      </c>
    </row>
    <row r="23" spans="1:3">
      <c r="A23" s="100" t="s">
        <v>162</v>
      </c>
      <c r="B23" s="94">
        <v>7260000</v>
      </c>
      <c r="C23" s="94">
        <v>7260000</v>
      </c>
    </row>
    <row r="24" spans="1:3">
      <c r="A24" s="100" t="s">
        <v>947</v>
      </c>
      <c r="B24" s="94"/>
      <c r="C24" s="94">
        <v>1580000</v>
      </c>
    </row>
    <row r="25" spans="1:3">
      <c r="A25" s="100" t="s">
        <v>163</v>
      </c>
      <c r="B25" s="94">
        <v>10000</v>
      </c>
      <c r="C25" s="94">
        <v>10000</v>
      </c>
    </row>
    <row r="26" spans="1:3">
      <c r="A26" s="49" t="s">
        <v>37</v>
      </c>
      <c r="B26" s="62">
        <v>-87277934</v>
      </c>
      <c r="C26" s="62">
        <v>-96567100</v>
      </c>
    </row>
    <row r="27" spans="1:3">
      <c r="A27" s="100" t="s">
        <v>164</v>
      </c>
      <c r="B27" s="94">
        <v>-87277934</v>
      </c>
      <c r="C27" s="94">
        <v>-86567100</v>
      </c>
    </row>
    <row r="28" spans="1:3">
      <c r="A28" s="100" t="s">
        <v>948</v>
      </c>
      <c r="B28" s="94"/>
      <c r="C28" s="94">
        <v>-10000000</v>
      </c>
    </row>
    <row r="29" spans="1:3">
      <c r="A29" s="49" t="s">
        <v>38</v>
      </c>
      <c r="B29" s="62">
        <v>-77193318</v>
      </c>
      <c r="C29" s="62">
        <v>-84897429</v>
      </c>
    </row>
    <row r="30" spans="1:3">
      <c r="A30" s="93"/>
      <c r="B30" s="96"/>
      <c r="C30" s="96"/>
    </row>
    <row r="31" spans="1:3">
      <c r="A31" s="66" t="s">
        <v>39</v>
      </c>
      <c r="B31" s="62">
        <v>30000000</v>
      </c>
      <c r="C31" s="62">
        <v>30000000</v>
      </c>
    </row>
    <row r="32" spans="1:3">
      <c r="A32" s="93" t="s">
        <v>165</v>
      </c>
      <c r="B32" s="94">
        <v>30000000</v>
      </c>
      <c r="C32" s="94">
        <v>30000000</v>
      </c>
    </row>
    <row r="33" spans="1:3">
      <c r="A33" s="49" t="s">
        <v>40</v>
      </c>
      <c r="B33" s="62">
        <v>-19132220</v>
      </c>
      <c r="C33" s="62">
        <v>-19132220</v>
      </c>
    </row>
    <row r="34" spans="1:3">
      <c r="A34" s="67" t="s">
        <v>790</v>
      </c>
      <c r="B34" s="94">
        <v>-18489583</v>
      </c>
      <c r="C34" s="94">
        <v>-18489583</v>
      </c>
    </row>
    <row r="35" spans="1:3">
      <c r="A35" s="95" t="s">
        <v>166</v>
      </c>
      <c r="B35" s="94">
        <v>-642637</v>
      </c>
      <c r="C35" s="94">
        <v>-642637</v>
      </c>
    </row>
    <row r="36" spans="1:3">
      <c r="A36" s="49" t="s">
        <v>41</v>
      </c>
      <c r="B36" s="62">
        <v>10867780</v>
      </c>
      <c r="C36" s="62">
        <v>10867780</v>
      </c>
    </row>
    <row r="37" spans="1:3">
      <c r="A37" s="93"/>
      <c r="B37" s="96"/>
      <c r="C37" s="96"/>
    </row>
    <row r="38" spans="1:3">
      <c r="A38" s="66" t="s">
        <v>42</v>
      </c>
      <c r="B38" s="62">
        <v>678995614</v>
      </c>
      <c r="C38" s="62">
        <v>713454005</v>
      </c>
    </row>
    <row r="39" spans="1:3" s="96" customFormat="1">
      <c r="A39" s="66" t="s">
        <v>43</v>
      </c>
      <c r="B39" s="62">
        <v>-683075814</v>
      </c>
      <c r="C39" s="62">
        <v>-727462325</v>
      </c>
    </row>
    <row r="40" spans="1:3">
      <c r="A40" s="66"/>
      <c r="C40" s="62"/>
    </row>
    <row r="41" spans="1:3">
      <c r="B41" s="96"/>
    </row>
  </sheetData>
  <mergeCells count="1">
    <mergeCell ref="B3:C3"/>
  </mergeCells>
  <phoneticPr fontId="36" type="noConversion"/>
  <pageMargins left="1.1811023622047245" right="0.47244094488188981" top="0.47244094488188981" bottom="0.98425196850393704" header="0.51181102362204722" footer="0.51181102362204722"/>
  <pageSetup paperSize="9" scale="75" orientation="landscape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79998168889431442"/>
    <pageSetUpPr fitToPage="1"/>
  </sheetPr>
  <dimension ref="A1:D41"/>
  <sheetViews>
    <sheetView showZeros="0" zoomScaleNormal="100" workbookViewId="0"/>
  </sheetViews>
  <sheetFormatPr defaultRowHeight="12.75"/>
  <cols>
    <col min="1" max="1" width="49.7109375" customWidth="1"/>
    <col min="2" max="2" width="11.140625" style="30" bestFit="1" customWidth="1"/>
    <col min="3" max="3" width="11.7109375" hidden="1" customWidth="1"/>
    <col min="4" max="4" width="12.7109375" customWidth="1"/>
  </cols>
  <sheetData>
    <row r="1" spans="1:4" ht="30" customHeight="1">
      <c r="A1" s="92" t="s">
        <v>143</v>
      </c>
    </row>
    <row r="2" spans="1:4" s="96" customFormat="1" ht="12.75" customHeight="1">
      <c r="A2" s="499"/>
      <c r="B2" s="30"/>
    </row>
    <row r="3" spans="1:4" ht="27" customHeight="1">
      <c r="A3" s="65"/>
      <c r="B3" s="593">
        <v>2018</v>
      </c>
      <c r="C3" s="594"/>
      <c r="D3" s="595"/>
    </row>
    <row r="4" spans="1:4" s="96" customFormat="1" ht="36.75" customHeight="1">
      <c r="A4" s="65"/>
      <c r="B4" s="576" t="s">
        <v>835</v>
      </c>
      <c r="C4" s="575" t="s">
        <v>940</v>
      </c>
      <c r="D4" s="577" t="s">
        <v>836</v>
      </c>
    </row>
    <row r="5" spans="1:4">
      <c r="A5" s="584" t="s">
        <v>5</v>
      </c>
      <c r="B5" s="585">
        <f t="shared" ref="B5:C5" si="0">SUM(B7:B10)</f>
        <v>610215680</v>
      </c>
      <c r="C5" s="585">
        <f t="shared" si="0"/>
        <v>31298667</v>
      </c>
      <c r="D5" s="585">
        <f>B5+C5</f>
        <v>641514347</v>
      </c>
    </row>
    <row r="6" spans="1:4">
      <c r="A6" s="586"/>
      <c r="B6" s="587"/>
      <c r="C6" s="587"/>
      <c r="D6" s="587"/>
    </row>
    <row r="7" spans="1:4">
      <c r="A7" s="586" t="s">
        <v>6</v>
      </c>
      <c r="B7" s="588">
        <v>437595000</v>
      </c>
      <c r="C7" s="588">
        <v>8200000</v>
      </c>
      <c r="D7" s="588">
        <f t="shared" ref="D7:D41" si="1">B7+C7</f>
        <v>445795000</v>
      </c>
    </row>
    <row r="8" spans="1:4">
      <c r="A8" s="586" t="s">
        <v>7</v>
      </c>
      <c r="B8" s="588">
        <v>76596109</v>
      </c>
      <c r="C8" s="588">
        <v>4090046</v>
      </c>
      <c r="D8" s="588">
        <f t="shared" si="1"/>
        <v>80686155</v>
      </c>
    </row>
    <row r="9" spans="1:4">
      <c r="A9" s="586" t="s">
        <v>8</v>
      </c>
      <c r="B9" s="588">
        <v>94789571</v>
      </c>
      <c r="C9" s="588">
        <v>18966782</v>
      </c>
      <c r="D9" s="588">
        <f t="shared" si="1"/>
        <v>113756353</v>
      </c>
    </row>
    <row r="10" spans="1:4">
      <c r="A10" s="586" t="s">
        <v>9</v>
      </c>
      <c r="B10" s="588">
        <v>1235000</v>
      </c>
      <c r="C10" s="588">
        <v>41839</v>
      </c>
      <c r="D10" s="588">
        <f t="shared" si="1"/>
        <v>1276839</v>
      </c>
    </row>
    <row r="11" spans="1:4">
      <c r="A11" s="587"/>
      <c r="B11" s="587"/>
      <c r="C11" s="587"/>
      <c r="D11" s="587"/>
    </row>
    <row r="12" spans="1:4">
      <c r="A12" s="589" t="s">
        <v>10</v>
      </c>
      <c r="B12" s="585">
        <f t="shared" ref="B12:C12" si="2">B14+B15+B16</f>
        <v>544156263</v>
      </c>
      <c r="C12" s="585">
        <f t="shared" si="2"/>
        <v>28378260</v>
      </c>
      <c r="D12" s="585">
        <f t="shared" si="1"/>
        <v>572534523</v>
      </c>
    </row>
    <row r="13" spans="1:4">
      <c r="A13" s="587"/>
      <c r="B13" s="587"/>
      <c r="C13" s="587"/>
      <c r="D13" s="587"/>
    </row>
    <row r="14" spans="1:4">
      <c r="A14" s="587" t="s">
        <v>11</v>
      </c>
      <c r="B14" s="72">
        <v>99418575</v>
      </c>
      <c r="C14" s="72">
        <v>1290040</v>
      </c>
      <c r="D14" s="72">
        <f t="shared" si="1"/>
        <v>100708615</v>
      </c>
    </row>
    <row r="15" spans="1:4">
      <c r="A15" s="587" t="s">
        <v>12</v>
      </c>
      <c r="B15" s="103">
        <v>440977951</v>
      </c>
      <c r="C15" s="103">
        <v>25743494</v>
      </c>
      <c r="D15" s="103">
        <f t="shared" si="1"/>
        <v>466721445</v>
      </c>
    </row>
    <row r="16" spans="1:4">
      <c r="A16" s="587" t="s">
        <v>123</v>
      </c>
      <c r="B16" s="588">
        <v>3759737</v>
      </c>
      <c r="C16" s="588">
        <v>1344726</v>
      </c>
      <c r="D16" s="588">
        <f t="shared" si="1"/>
        <v>5104463</v>
      </c>
    </row>
    <row r="17" spans="1:4">
      <c r="A17" s="587"/>
      <c r="B17" s="587"/>
      <c r="C17" s="587"/>
      <c r="D17" s="587"/>
    </row>
    <row r="18" spans="1:4">
      <c r="A18" s="587" t="s">
        <v>13</v>
      </c>
      <c r="B18" s="588">
        <f t="shared" ref="B18:C18" si="3">B5-B12</f>
        <v>66059417</v>
      </c>
      <c r="C18" s="588">
        <f t="shared" si="3"/>
        <v>2920407</v>
      </c>
      <c r="D18" s="588">
        <f t="shared" si="1"/>
        <v>68979824</v>
      </c>
    </row>
    <row r="19" spans="1:4">
      <c r="A19" s="587"/>
      <c r="B19" s="587"/>
      <c r="C19" s="587"/>
      <c r="D19" s="587"/>
    </row>
    <row r="20" spans="1:4">
      <c r="A20" s="584" t="s">
        <v>14</v>
      </c>
      <c r="B20" s="585">
        <f>B22-B23+B24-B25+B30-B31-B29</f>
        <v>-81007397</v>
      </c>
      <c r="C20" s="585">
        <f>C22-C23+C24-C25+C30-C31-C29-C27+C28</f>
        <v>-12848527</v>
      </c>
      <c r="D20" s="585">
        <f t="shared" si="1"/>
        <v>-93855924</v>
      </c>
    </row>
    <row r="21" spans="1:4">
      <c r="A21" s="586"/>
      <c r="B21" s="587"/>
      <c r="C21" s="587"/>
      <c r="D21" s="587"/>
    </row>
    <row r="22" spans="1:4">
      <c r="A22" s="586" t="s">
        <v>15</v>
      </c>
      <c r="B22" s="103">
        <v>2800616</v>
      </c>
      <c r="C22" s="103">
        <v>0</v>
      </c>
      <c r="D22" s="103">
        <f t="shared" si="1"/>
        <v>2800616</v>
      </c>
    </row>
    <row r="23" spans="1:4">
      <c r="A23" s="586" t="s">
        <v>16</v>
      </c>
      <c r="B23" s="103">
        <v>106499863</v>
      </c>
      <c r="C23" s="103">
        <v>-871992</v>
      </c>
      <c r="D23" s="103">
        <f t="shared" si="1"/>
        <v>105627871</v>
      </c>
    </row>
    <row r="24" spans="1:4">
      <c r="A24" s="586" t="s">
        <v>17</v>
      </c>
      <c r="B24" s="103">
        <v>28709318</v>
      </c>
      <c r="C24" s="103">
        <v>1579724</v>
      </c>
      <c r="D24" s="103">
        <f t="shared" si="1"/>
        <v>30289042</v>
      </c>
    </row>
    <row r="25" spans="1:4" s="96" customFormat="1">
      <c r="A25" s="586" t="s">
        <v>18</v>
      </c>
      <c r="B25" s="103">
        <v>5943200</v>
      </c>
      <c r="C25" s="103">
        <v>6880243</v>
      </c>
      <c r="D25" s="103">
        <f t="shared" si="1"/>
        <v>12823443</v>
      </c>
    </row>
    <row r="26" spans="1:4">
      <c r="A26" s="586"/>
      <c r="B26" s="103"/>
      <c r="C26" s="103"/>
      <c r="D26" s="103"/>
    </row>
    <row r="27" spans="1:4">
      <c r="A27" s="586" t="s">
        <v>942</v>
      </c>
      <c r="B27" s="103">
        <v>0</v>
      </c>
      <c r="C27" s="103">
        <v>10000000</v>
      </c>
      <c r="D27" s="103">
        <f t="shared" si="1"/>
        <v>10000000</v>
      </c>
    </row>
    <row r="28" spans="1:4">
      <c r="A28" s="586" t="s">
        <v>943</v>
      </c>
      <c r="B28" s="103">
        <v>0</v>
      </c>
      <c r="C28" s="103">
        <v>1580000</v>
      </c>
      <c r="D28" s="103">
        <f t="shared" si="1"/>
        <v>1580000</v>
      </c>
    </row>
    <row r="29" spans="1:4">
      <c r="A29" s="590"/>
      <c r="B29" s="103">
        <v>0</v>
      </c>
      <c r="C29" s="103"/>
      <c r="D29" s="103">
        <v>0</v>
      </c>
    </row>
    <row r="30" spans="1:4">
      <c r="A30" s="586" t="s">
        <v>19</v>
      </c>
      <c r="B30" s="103">
        <v>7270000</v>
      </c>
      <c r="C30" s="103"/>
      <c r="D30" s="103">
        <f t="shared" si="1"/>
        <v>7270000</v>
      </c>
    </row>
    <row r="31" spans="1:4">
      <c r="A31" s="586" t="s">
        <v>20</v>
      </c>
      <c r="B31" s="103">
        <v>7344268</v>
      </c>
      <c r="C31" s="103"/>
      <c r="D31" s="103">
        <f t="shared" si="1"/>
        <v>7344268</v>
      </c>
    </row>
    <row r="32" spans="1:4">
      <c r="A32" s="586"/>
      <c r="B32" s="587"/>
      <c r="C32" s="587"/>
      <c r="D32" s="587"/>
    </row>
    <row r="33" spans="1:4">
      <c r="A33" s="586" t="s">
        <v>21</v>
      </c>
      <c r="B33" s="588">
        <f>B18+B20</f>
        <v>-14947980</v>
      </c>
      <c r="C33" s="588">
        <f>C18+C20</f>
        <v>-9928120</v>
      </c>
      <c r="D33" s="588">
        <f t="shared" si="1"/>
        <v>-24876100</v>
      </c>
    </row>
    <row r="34" spans="1:4">
      <c r="A34" s="586"/>
      <c r="B34" s="587"/>
      <c r="C34" s="587"/>
      <c r="D34" s="587"/>
    </row>
    <row r="35" spans="1:4">
      <c r="A35" s="584" t="s">
        <v>22</v>
      </c>
      <c r="B35" s="585">
        <f t="shared" ref="B35:C35" si="4">B37-B38</f>
        <v>10832980</v>
      </c>
      <c r="C35" s="585">
        <f t="shared" si="4"/>
        <v>0</v>
      </c>
      <c r="D35" s="585">
        <f t="shared" si="1"/>
        <v>10832980</v>
      </c>
    </row>
    <row r="36" spans="1:4">
      <c r="A36" s="586"/>
      <c r="B36" s="587"/>
      <c r="C36" s="587"/>
      <c r="D36" s="587"/>
    </row>
    <row r="37" spans="1:4">
      <c r="A37" s="586" t="s">
        <v>23</v>
      </c>
      <c r="B37" s="103">
        <v>30000000</v>
      </c>
      <c r="C37" s="103"/>
      <c r="D37" s="103">
        <f t="shared" si="1"/>
        <v>30000000</v>
      </c>
    </row>
    <row r="38" spans="1:4" s="96" customFormat="1">
      <c r="A38" s="586" t="s">
        <v>24</v>
      </c>
      <c r="B38" s="103">
        <v>19167020</v>
      </c>
      <c r="C38" s="103"/>
      <c r="D38" s="103">
        <f t="shared" si="1"/>
        <v>19167020</v>
      </c>
    </row>
    <row r="39" spans="1:4" s="96" customFormat="1">
      <c r="A39" s="586"/>
      <c r="B39" s="587"/>
      <c r="C39" s="587"/>
      <c r="D39" s="587"/>
    </row>
    <row r="40" spans="1:4">
      <c r="A40" s="584" t="s">
        <v>25</v>
      </c>
      <c r="B40" s="585">
        <f t="shared" ref="B40:C40" si="5">B41+B35+B33</f>
        <v>-4080200</v>
      </c>
      <c r="C40" s="585">
        <f t="shared" si="5"/>
        <v>-9928120</v>
      </c>
      <c r="D40" s="585">
        <f t="shared" si="1"/>
        <v>-14008320</v>
      </c>
    </row>
    <row r="41" spans="1:4" s="96" customFormat="1">
      <c r="A41" s="584" t="s">
        <v>26</v>
      </c>
      <c r="B41" s="45">
        <v>34800</v>
      </c>
      <c r="C41" s="45"/>
      <c r="D41" s="45">
        <f t="shared" si="1"/>
        <v>34800</v>
      </c>
    </row>
  </sheetData>
  <autoFilter ref="A4:D41"/>
  <mergeCells count="1">
    <mergeCell ref="B3:D3"/>
  </mergeCells>
  <phoneticPr fontId="36" type="noConversion"/>
  <pageMargins left="1.1811023622047245" right="0.47244094488188981" top="0.47244094488188981" bottom="0.98425196850393704" header="0.51181102362204722" footer="0.51181102362204722"/>
  <pageSetup paperSize="9" scale="86" orientation="landscape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D33"/>
  <sheetViews>
    <sheetView workbookViewId="0">
      <selection activeCell="D9" sqref="D9"/>
    </sheetView>
  </sheetViews>
  <sheetFormatPr defaultRowHeight="12.75"/>
  <cols>
    <col min="1" max="1" width="60.28515625" bestFit="1" customWidth="1"/>
    <col min="2" max="2" width="11.140625" bestFit="1" customWidth="1"/>
    <col min="3" max="3" width="12.7109375" bestFit="1" customWidth="1"/>
    <col min="4" max="4" width="11.140625" bestFit="1" customWidth="1"/>
  </cols>
  <sheetData>
    <row r="1" spans="1:4">
      <c r="B1" s="601" t="s">
        <v>889</v>
      </c>
      <c r="C1" s="602"/>
      <c r="D1" s="602"/>
    </row>
    <row r="2" spans="1:4">
      <c r="B2" s="68" t="s">
        <v>885</v>
      </c>
      <c r="C2" s="68" t="s">
        <v>886</v>
      </c>
      <c r="D2" s="68" t="s">
        <v>51</v>
      </c>
    </row>
    <row r="3" spans="1:4">
      <c r="A3" s="3" t="s">
        <v>844</v>
      </c>
      <c r="B3" s="94">
        <f>'3 KULUD'!D1666</f>
        <v>244480</v>
      </c>
      <c r="C3" s="96"/>
      <c r="D3" s="94">
        <f>B3+C3</f>
        <v>244480</v>
      </c>
    </row>
    <row r="4" spans="1:4">
      <c r="A4" s="3" t="s">
        <v>845</v>
      </c>
      <c r="B4" s="94">
        <f>'3 KULUD'!D1667</f>
        <v>1580869</v>
      </c>
      <c r="C4" s="94" t="e">
        <f>#REF!</f>
        <v>#REF!</v>
      </c>
      <c r="D4" s="94" t="e">
        <f t="shared" ref="D4:D32" si="0">B4+C4</f>
        <v>#REF!</v>
      </c>
    </row>
    <row r="5" spans="1:4">
      <c r="A5" s="3" t="s">
        <v>846</v>
      </c>
      <c r="B5" s="94">
        <f>'3 KULUD'!D1668</f>
        <v>819347</v>
      </c>
      <c r="C5" s="94" t="e">
        <f>#REF!</f>
        <v>#REF!</v>
      </c>
      <c r="D5" s="94" t="e">
        <f t="shared" si="0"/>
        <v>#REF!</v>
      </c>
    </row>
    <row r="6" spans="1:4">
      <c r="A6" s="3" t="s">
        <v>847</v>
      </c>
      <c r="B6" s="94">
        <f>'3 KULUD'!D1669</f>
        <v>0</v>
      </c>
      <c r="C6" s="94" t="e">
        <f>#REF!</f>
        <v>#REF!</v>
      </c>
      <c r="D6" s="94" t="e">
        <f t="shared" si="0"/>
        <v>#REF!</v>
      </c>
    </row>
    <row r="7" spans="1:4">
      <c r="A7" s="3" t="s">
        <v>848</v>
      </c>
      <c r="B7" s="94">
        <f>'3 KULUD'!D1670</f>
        <v>216306</v>
      </c>
      <c r="C7" s="94" t="e">
        <f>#REF!</f>
        <v>#REF!</v>
      </c>
      <c r="D7" s="94" t="e">
        <f t="shared" si="0"/>
        <v>#REF!</v>
      </c>
    </row>
    <row r="8" spans="1:4">
      <c r="A8" s="3" t="s">
        <v>849</v>
      </c>
      <c r="B8" s="94">
        <f>'3 KULUD'!D1671</f>
        <v>216306</v>
      </c>
      <c r="C8" s="94" t="e">
        <f>#REF!</f>
        <v>#REF!</v>
      </c>
      <c r="D8" s="94" t="e">
        <f t="shared" si="0"/>
        <v>#REF!</v>
      </c>
    </row>
    <row r="9" spans="1:4">
      <c r="A9" s="3" t="s">
        <v>283</v>
      </c>
      <c r="B9" s="94">
        <f>'3 KULUD'!D1672</f>
        <v>109083</v>
      </c>
      <c r="C9" s="94" t="e">
        <f>#REF!</f>
        <v>#REF!</v>
      </c>
      <c r="D9" s="94" t="e">
        <f t="shared" si="0"/>
        <v>#REF!</v>
      </c>
    </row>
    <row r="10" spans="1:4">
      <c r="A10" s="3" t="s">
        <v>303</v>
      </c>
      <c r="B10" s="94">
        <f>'3 KULUD'!D1673</f>
        <v>0</v>
      </c>
      <c r="C10" s="94" t="e">
        <f>#REF!</f>
        <v>#REF!</v>
      </c>
      <c r="D10" s="94" t="e">
        <f t="shared" si="0"/>
        <v>#REF!</v>
      </c>
    </row>
    <row r="11" spans="1:4">
      <c r="A11" s="3" t="s">
        <v>850</v>
      </c>
      <c r="B11" s="94">
        <f>'3 KULUD'!D1674</f>
        <v>0</v>
      </c>
      <c r="C11" s="94" t="e">
        <f>#REF!</f>
        <v>#REF!</v>
      </c>
      <c r="D11" s="94" t="e">
        <f t="shared" si="0"/>
        <v>#REF!</v>
      </c>
    </row>
    <row r="12" spans="1:4">
      <c r="A12" s="3" t="s">
        <v>851</v>
      </c>
      <c r="B12" s="94">
        <f>'3 KULUD'!D1675</f>
        <v>125735</v>
      </c>
      <c r="C12" s="94" t="e">
        <f>#REF!</f>
        <v>#REF!</v>
      </c>
      <c r="D12" s="94" t="e">
        <f t="shared" si="0"/>
        <v>#REF!</v>
      </c>
    </row>
    <row r="13" spans="1:4">
      <c r="A13" s="3" t="s">
        <v>852</v>
      </c>
      <c r="B13" s="94">
        <f>'3 KULUD'!D1676</f>
        <v>125735</v>
      </c>
      <c r="C13" s="94" t="e">
        <f>#REF!</f>
        <v>#REF!</v>
      </c>
      <c r="D13" s="94" t="e">
        <f t="shared" si="0"/>
        <v>#REF!</v>
      </c>
    </row>
    <row r="14" spans="1:4">
      <c r="A14" s="3" t="s">
        <v>853</v>
      </c>
      <c r="B14" s="94">
        <f>'3 KULUD'!D1677</f>
        <v>0</v>
      </c>
      <c r="C14" s="94" t="e">
        <f>#REF!</f>
        <v>#REF!</v>
      </c>
      <c r="D14" s="94" t="e">
        <f t="shared" si="0"/>
        <v>#REF!</v>
      </c>
    </row>
    <row r="15" spans="1:4">
      <c r="A15" s="3" t="s">
        <v>854</v>
      </c>
      <c r="B15" s="94">
        <f>'3 KULUD'!D1678</f>
        <v>125735</v>
      </c>
      <c r="C15" s="94" t="e">
        <f>#REF!</f>
        <v>#REF!</v>
      </c>
      <c r="D15" s="94" t="e">
        <f t="shared" si="0"/>
        <v>#REF!</v>
      </c>
    </row>
    <row r="16" spans="1:4">
      <c r="A16" s="3" t="s">
        <v>664</v>
      </c>
      <c r="B16" s="94">
        <f>'3 KULUD'!D1679</f>
        <v>66193</v>
      </c>
      <c r="C16" s="94" t="e">
        <f>#REF!</f>
        <v>#REF!</v>
      </c>
      <c r="D16" s="94" t="e">
        <f t="shared" si="0"/>
        <v>#REF!</v>
      </c>
    </row>
    <row r="17" spans="1:4">
      <c r="A17" s="3" t="s">
        <v>788</v>
      </c>
      <c r="B17" s="94">
        <f>'3 KULUD'!D1680</f>
        <v>0</v>
      </c>
      <c r="C17" s="94" t="e">
        <f>#REF!</f>
        <v>#REF!</v>
      </c>
      <c r="D17" s="94" t="e">
        <f t="shared" si="0"/>
        <v>#REF!</v>
      </c>
    </row>
    <row r="18" spans="1:4">
      <c r="A18" s="3" t="s">
        <v>855</v>
      </c>
      <c r="B18" s="94">
        <f>'3 KULUD'!D1681</f>
        <v>0</v>
      </c>
      <c r="C18" s="94" t="e">
        <f>#REF!</f>
        <v>#REF!</v>
      </c>
      <c r="D18" s="94" t="e">
        <f t="shared" si="0"/>
        <v>#REF!</v>
      </c>
    </row>
    <row r="19" spans="1:4">
      <c r="A19" s="3" t="s">
        <v>856</v>
      </c>
      <c r="B19" s="94">
        <f>'3 KULUD'!D1682</f>
        <v>196050</v>
      </c>
      <c r="C19" s="94" t="e">
        <f>#REF!</f>
        <v>#REF!</v>
      </c>
      <c r="D19" s="94" t="e">
        <f t="shared" si="0"/>
        <v>#REF!</v>
      </c>
    </row>
    <row r="20" spans="1:4">
      <c r="A20" s="3" t="s">
        <v>857</v>
      </c>
      <c r="B20" s="94">
        <f>'3 KULUD'!D1683</f>
        <v>196050</v>
      </c>
      <c r="C20" s="94" t="e">
        <f>#REF!</f>
        <v>#REF!</v>
      </c>
      <c r="D20" s="94" t="e">
        <f t="shared" si="0"/>
        <v>#REF!</v>
      </c>
    </row>
    <row r="21" spans="1:4">
      <c r="A21" s="3" t="s">
        <v>858</v>
      </c>
      <c r="B21" s="94">
        <f>'3 KULUD'!D1684</f>
        <v>0</v>
      </c>
      <c r="C21" s="94" t="e">
        <f>#REF!</f>
        <v>#REF!</v>
      </c>
      <c r="D21" s="94" t="e">
        <f t="shared" si="0"/>
        <v>#REF!</v>
      </c>
    </row>
    <row r="22" spans="1:4">
      <c r="A22" s="3" t="s">
        <v>859</v>
      </c>
      <c r="B22" s="94">
        <f>'3 KULUD'!D1685</f>
        <v>144040</v>
      </c>
      <c r="C22" s="94" t="e">
        <f>#REF!</f>
        <v>#REF!</v>
      </c>
      <c r="D22" s="94" t="e">
        <f t="shared" si="0"/>
        <v>#REF!</v>
      </c>
    </row>
    <row r="23" spans="1:4">
      <c r="A23" s="488" t="s">
        <v>860</v>
      </c>
      <c r="B23" s="62">
        <f>'3 KULUD'!D1686</f>
        <v>73975</v>
      </c>
      <c r="C23" s="62" t="e">
        <f>#REF!</f>
        <v>#REF!</v>
      </c>
      <c r="D23" s="62" t="e">
        <f t="shared" si="0"/>
        <v>#REF!</v>
      </c>
    </row>
    <row r="24" spans="1:4">
      <c r="A24" s="3" t="s">
        <v>861</v>
      </c>
      <c r="B24" s="94">
        <f>'3 KULUD'!D1687</f>
        <v>0</v>
      </c>
      <c r="C24" s="62"/>
      <c r="D24" s="94">
        <f t="shared" si="0"/>
        <v>0</v>
      </c>
    </row>
    <row r="25" spans="1:4">
      <c r="A25" s="3" t="s">
        <v>862</v>
      </c>
      <c r="B25" s="94">
        <f>'3 KULUD'!D1688</f>
        <v>0</v>
      </c>
      <c r="C25" s="94"/>
      <c r="D25" s="94">
        <f t="shared" si="0"/>
        <v>0</v>
      </c>
    </row>
    <row r="26" spans="1:4">
      <c r="A26" s="3" t="s">
        <v>863</v>
      </c>
      <c r="B26" s="94">
        <f>'3 KULUD'!D1689</f>
        <v>0</v>
      </c>
      <c r="C26" s="94"/>
      <c r="D26" s="94">
        <f t="shared" si="0"/>
        <v>0</v>
      </c>
    </row>
    <row r="27" spans="1:4">
      <c r="A27" s="489" t="s">
        <v>864</v>
      </c>
      <c r="B27" s="94">
        <f>'3 KULUD'!D1690</f>
        <v>52010</v>
      </c>
      <c r="C27" s="94"/>
      <c r="D27" s="94">
        <f t="shared" si="0"/>
        <v>52010</v>
      </c>
    </row>
    <row r="28" spans="1:4">
      <c r="A28" s="240" t="s">
        <v>865</v>
      </c>
      <c r="B28" s="94">
        <f>'3 KULUD'!D1691</f>
        <v>36535</v>
      </c>
      <c r="C28" s="94"/>
      <c r="D28" s="94">
        <f t="shared" si="0"/>
        <v>36535</v>
      </c>
    </row>
    <row r="29" spans="1:4">
      <c r="A29" s="240" t="s">
        <v>767</v>
      </c>
      <c r="B29" s="94">
        <f>'3 KULUD'!D1692</f>
        <v>0</v>
      </c>
      <c r="C29" s="94"/>
      <c r="D29" s="94">
        <f t="shared" si="0"/>
        <v>0</v>
      </c>
    </row>
    <row r="30" spans="1:4">
      <c r="A30" s="488" t="s">
        <v>866</v>
      </c>
      <c r="B30" s="62">
        <f>'3 KULUD'!D1693</f>
        <v>0</v>
      </c>
      <c r="C30" s="62" t="e">
        <f>SUM(C23:C29)</f>
        <v>#REF!</v>
      </c>
      <c r="D30" s="62" t="e">
        <f t="shared" si="0"/>
        <v>#REF!</v>
      </c>
    </row>
    <row r="31" spans="1:4">
      <c r="A31" s="3" t="s">
        <v>867</v>
      </c>
      <c r="B31" s="94">
        <f>'3 KULUD'!D1694</f>
        <v>197750</v>
      </c>
      <c r="C31" s="62"/>
      <c r="D31" s="94">
        <f t="shared" si="0"/>
        <v>197750</v>
      </c>
    </row>
    <row r="32" spans="1:4">
      <c r="A32" s="488" t="s">
        <v>51</v>
      </c>
      <c r="B32" s="62">
        <f>'3 KULUD'!D1695</f>
        <v>197750</v>
      </c>
      <c r="C32" s="62" t="e">
        <f>C30+C31</f>
        <v>#REF!</v>
      </c>
      <c r="D32" s="62" t="e">
        <f t="shared" si="0"/>
        <v>#REF!</v>
      </c>
    </row>
    <row r="33" spans="3:3">
      <c r="C33" s="6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</sheetPr>
  <dimension ref="A1:E90"/>
  <sheetViews>
    <sheetView showZeros="0" zoomScaleNormal="100" workbookViewId="0">
      <pane ySplit="3" topLeftCell="A4" activePane="bottomLeft" state="frozen"/>
      <selection activeCell="F154" sqref="F154"/>
      <selection pane="bottomLeft"/>
    </sheetView>
  </sheetViews>
  <sheetFormatPr defaultRowHeight="12.75"/>
  <cols>
    <col min="1" max="1" width="47" customWidth="1"/>
    <col min="2" max="2" width="11.7109375" bestFit="1" customWidth="1"/>
    <col min="3" max="3" width="11.28515625" hidden="1" customWidth="1"/>
    <col min="4" max="4" width="11.7109375" style="562" bestFit="1" customWidth="1"/>
  </cols>
  <sheetData>
    <row r="1" spans="1:4" ht="15">
      <c r="A1" s="12" t="s">
        <v>53</v>
      </c>
      <c r="B1" s="96"/>
    </row>
    <row r="2" spans="1:4">
      <c r="A2" s="13"/>
      <c r="B2" s="14"/>
      <c r="D2" s="563"/>
    </row>
    <row r="3" spans="1:4" ht="25.5" customHeight="1">
      <c r="A3" s="2"/>
      <c r="B3" s="593">
        <v>2018</v>
      </c>
      <c r="C3" s="594"/>
      <c r="D3" s="595"/>
    </row>
    <row r="4" spans="1:4" s="96" customFormat="1" ht="25.5" customHeight="1">
      <c r="A4" s="2"/>
      <c r="B4" s="576" t="s">
        <v>835</v>
      </c>
      <c r="C4" s="575" t="s">
        <v>940</v>
      </c>
      <c r="D4" s="577" t="s">
        <v>836</v>
      </c>
    </row>
    <row r="5" spans="1:4" s="96" customFormat="1">
      <c r="A5" s="2"/>
      <c r="B5" s="115"/>
      <c r="C5" s="115"/>
      <c r="D5" s="115"/>
    </row>
    <row r="6" spans="1:4" s="96" customFormat="1">
      <c r="A6" s="2" t="s">
        <v>54</v>
      </c>
      <c r="B6" s="30"/>
      <c r="C6" s="30"/>
      <c r="D6" s="30"/>
    </row>
    <row r="7" spans="1:4" s="96" customFormat="1">
      <c r="A7" s="48"/>
      <c r="B7" s="574"/>
      <c r="C7" s="574"/>
      <c r="D7" s="574"/>
    </row>
    <row r="8" spans="1:4" s="96" customFormat="1">
      <c r="A8" s="16" t="s">
        <v>55</v>
      </c>
      <c r="B8" s="17">
        <v>648181682</v>
      </c>
      <c r="C8" s="17">
        <v>32878391</v>
      </c>
      <c r="D8" s="17">
        <v>681060073</v>
      </c>
    </row>
    <row r="9" spans="1:4" s="96" customFormat="1">
      <c r="A9" s="19" t="s">
        <v>56</v>
      </c>
      <c r="B9" s="20">
        <v>425830000</v>
      </c>
      <c r="C9" s="20">
        <v>7700000</v>
      </c>
      <c r="D9" s="20">
        <v>433530000</v>
      </c>
    </row>
    <row r="10" spans="1:4" s="96" customFormat="1">
      <c r="A10" s="19" t="s">
        <v>57</v>
      </c>
      <c r="B10" s="20">
        <v>11765000</v>
      </c>
      <c r="C10" s="20">
        <v>500000</v>
      </c>
      <c r="D10" s="20">
        <v>12265000</v>
      </c>
    </row>
    <row r="11" spans="1:4" s="96" customFormat="1">
      <c r="A11" s="19" t="s">
        <v>58</v>
      </c>
      <c r="B11" s="20">
        <v>467800</v>
      </c>
      <c r="C11" s="20">
        <v>137000</v>
      </c>
      <c r="D11" s="20">
        <v>604800</v>
      </c>
    </row>
    <row r="12" spans="1:4" s="96" customFormat="1">
      <c r="A12" s="19" t="s">
        <v>59</v>
      </c>
      <c r="B12" s="20">
        <v>76128309</v>
      </c>
      <c r="C12" s="20">
        <v>3953046</v>
      </c>
      <c r="D12" s="20">
        <v>80081355</v>
      </c>
    </row>
    <row r="13" spans="1:4" s="96" customFormat="1">
      <c r="A13" s="19" t="s">
        <v>60</v>
      </c>
      <c r="B13" s="20">
        <v>854000</v>
      </c>
      <c r="C13" s="20">
        <v>33479</v>
      </c>
      <c r="D13" s="20">
        <v>887479</v>
      </c>
    </row>
    <row r="14" spans="1:4" s="96" customFormat="1">
      <c r="A14" s="19" t="s">
        <v>61</v>
      </c>
      <c r="B14" s="20">
        <v>10000</v>
      </c>
      <c r="C14" s="20"/>
      <c r="D14" s="20">
        <v>10000</v>
      </c>
    </row>
    <row r="15" spans="1:4" s="96" customFormat="1">
      <c r="A15" s="19" t="s">
        <v>62</v>
      </c>
      <c r="B15" s="20">
        <v>2824616</v>
      </c>
      <c r="C15" s="20">
        <v>5055</v>
      </c>
      <c r="D15" s="20">
        <v>2829671</v>
      </c>
    </row>
    <row r="16" spans="1:4" s="96" customFormat="1">
      <c r="A16" s="19" t="s">
        <v>63</v>
      </c>
      <c r="B16" s="20">
        <v>-813932</v>
      </c>
      <c r="C16" s="20"/>
      <c r="D16" s="20">
        <v>-813932</v>
      </c>
    </row>
    <row r="17" spans="1:4" s="96" customFormat="1">
      <c r="A17" s="19" t="s">
        <v>64</v>
      </c>
      <c r="B17" s="20">
        <v>-10000</v>
      </c>
      <c r="C17" s="20"/>
      <c r="D17" s="20">
        <v>-10000</v>
      </c>
    </row>
    <row r="18" spans="1:4" s="96" customFormat="1">
      <c r="A18" s="19" t="s">
        <v>65</v>
      </c>
      <c r="B18" s="20">
        <v>367000</v>
      </c>
      <c r="C18" s="20">
        <v>3305</v>
      </c>
      <c r="D18" s="20">
        <v>370305</v>
      </c>
    </row>
    <row r="19" spans="1:4" s="96" customFormat="1">
      <c r="A19" s="19" t="s">
        <v>66</v>
      </c>
      <c r="B19" s="20">
        <v>7260000</v>
      </c>
      <c r="C19" s="20"/>
      <c r="D19" s="20">
        <v>7260000</v>
      </c>
    </row>
    <row r="20" spans="1:4" s="96" customFormat="1">
      <c r="A20" s="21" t="s">
        <v>67</v>
      </c>
      <c r="B20" s="20">
        <v>93199352</v>
      </c>
      <c r="C20" s="20">
        <v>19503968</v>
      </c>
      <c r="D20" s="20">
        <v>112703320</v>
      </c>
    </row>
    <row r="21" spans="1:4" s="96" customFormat="1">
      <c r="A21" s="19" t="s">
        <v>68</v>
      </c>
      <c r="B21" s="20">
        <v>28518004</v>
      </c>
      <c r="C21" s="20">
        <v>751880</v>
      </c>
      <c r="D21" s="20">
        <v>29269884</v>
      </c>
    </row>
    <row r="22" spans="1:4" s="96" customFormat="1" ht="14.25" customHeight="1">
      <c r="A22" s="19" t="s">
        <v>144</v>
      </c>
      <c r="B22" s="20">
        <v>1781533</v>
      </c>
      <c r="C22" s="20">
        <v>290658</v>
      </c>
      <c r="D22" s="20">
        <v>2072191</v>
      </c>
    </row>
    <row r="23" spans="1:4" s="96" customFormat="1">
      <c r="A23" s="5"/>
      <c r="B23" s="103"/>
      <c r="C23" s="103"/>
      <c r="D23" s="103"/>
    </row>
    <row r="24" spans="1:4" s="96" customFormat="1">
      <c r="A24" s="16" t="s">
        <v>69</v>
      </c>
      <c r="B24" s="17">
        <v>576691700</v>
      </c>
      <c r="C24" s="17">
        <v>35122797</v>
      </c>
      <c r="D24" s="17">
        <v>611814497</v>
      </c>
    </row>
    <row r="25" spans="1:4" s="96" customFormat="1">
      <c r="A25" s="19" t="s">
        <v>70</v>
      </c>
      <c r="B25" s="20">
        <v>549035526</v>
      </c>
      <c r="C25" s="20">
        <v>28442126</v>
      </c>
      <c r="D25" s="20">
        <v>577477652</v>
      </c>
    </row>
    <row r="26" spans="1:4" s="96" customFormat="1" ht="25.5">
      <c r="A26" s="137" t="s">
        <v>71</v>
      </c>
      <c r="B26" s="20">
        <v>89109020</v>
      </c>
      <c r="C26" s="20">
        <v>18498937</v>
      </c>
      <c r="D26" s="20">
        <v>107607957</v>
      </c>
    </row>
    <row r="27" spans="1:4" s="96" customFormat="1">
      <c r="A27" s="22" t="s">
        <v>72</v>
      </c>
      <c r="B27" s="20">
        <v>1590219</v>
      </c>
      <c r="C27" s="20">
        <v>291161</v>
      </c>
      <c r="D27" s="20">
        <v>1881380</v>
      </c>
    </row>
    <row r="28" spans="1:4" s="96" customFormat="1">
      <c r="A28" s="22" t="s">
        <v>949</v>
      </c>
      <c r="B28" s="20"/>
      <c r="C28" s="20">
        <v>490</v>
      </c>
      <c r="D28" s="20">
        <v>490</v>
      </c>
    </row>
    <row r="29" spans="1:4" s="96" customFormat="1">
      <c r="A29" s="22" t="s">
        <v>73</v>
      </c>
      <c r="B29" s="20">
        <v>458336287</v>
      </c>
      <c r="C29" s="20">
        <v>9651538</v>
      </c>
      <c r="D29" s="20">
        <v>467987825</v>
      </c>
    </row>
    <row r="30" spans="1:4" s="96" customFormat="1">
      <c r="A30" s="19" t="s">
        <v>74</v>
      </c>
      <c r="B30" s="20">
        <v>27656174</v>
      </c>
      <c r="C30" s="20">
        <v>6680671</v>
      </c>
      <c r="D30" s="20">
        <v>34336845</v>
      </c>
    </row>
    <row r="31" spans="1:4" s="96" customFormat="1">
      <c r="A31" s="19"/>
      <c r="B31" s="103"/>
      <c r="C31" s="103"/>
      <c r="D31" s="103"/>
    </row>
    <row r="32" spans="1:4" s="96" customFormat="1">
      <c r="A32" s="23" t="s">
        <v>75</v>
      </c>
      <c r="B32" s="89">
        <v>71489982</v>
      </c>
      <c r="C32" s="89">
        <v>-2244406</v>
      </c>
      <c r="D32" s="89">
        <v>69245576</v>
      </c>
    </row>
    <row r="33" spans="1:4" s="96" customFormat="1">
      <c r="A33" s="24"/>
      <c r="B33" s="6"/>
      <c r="C33" s="6"/>
      <c r="D33" s="6"/>
    </row>
    <row r="34" spans="1:4" s="96" customFormat="1">
      <c r="A34" s="25" t="s">
        <v>76</v>
      </c>
      <c r="B34" s="20">
        <v>44047515</v>
      </c>
      <c r="C34" s="20">
        <v>1756356</v>
      </c>
      <c r="D34" s="20">
        <v>45803871</v>
      </c>
    </row>
    <row r="35" spans="1:4" s="96" customFormat="1">
      <c r="A35" s="5"/>
      <c r="B35" s="103"/>
      <c r="C35" s="103"/>
      <c r="D35" s="103"/>
    </row>
    <row r="36" spans="1:4" s="96" customFormat="1">
      <c r="A36" s="23" t="s">
        <v>77</v>
      </c>
      <c r="B36" s="89">
        <v>27442467</v>
      </c>
      <c r="C36" s="89">
        <v>-4000762</v>
      </c>
      <c r="D36" s="89">
        <v>23441705</v>
      </c>
    </row>
    <row r="37" spans="1:4" s="96" customFormat="1" ht="16.5" thickBot="1">
      <c r="A37" s="26"/>
      <c r="B37" s="90"/>
      <c r="C37" s="90"/>
      <c r="D37" s="90"/>
    </row>
    <row r="38" spans="1:4" s="96" customFormat="1" ht="16.5" thickTop="1">
      <c r="A38" s="27"/>
      <c r="B38" s="91"/>
      <c r="C38" s="91"/>
      <c r="D38" s="91"/>
    </row>
    <row r="39" spans="1:4" s="96" customFormat="1" ht="15.75">
      <c r="A39" s="28" t="s">
        <v>78</v>
      </c>
      <c r="B39" s="91"/>
      <c r="C39" s="91"/>
      <c r="D39" s="91"/>
    </row>
    <row r="40" spans="1:4" s="96" customFormat="1" ht="15.75">
      <c r="A40" s="28"/>
      <c r="B40" s="91"/>
      <c r="C40" s="91"/>
      <c r="D40" s="91"/>
    </row>
    <row r="41" spans="1:4" s="96" customFormat="1">
      <c r="A41" s="87" t="s">
        <v>167</v>
      </c>
      <c r="B41" s="20"/>
      <c r="C41" s="20"/>
      <c r="D41" s="20"/>
    </row>
    <row r="42" spans="1:4" s="96" customFormat="1">
      <c r="A42" s="19"/>
      <c r="B42" s="20"/>
      <c r="C42" s="20"/>
      <c r="D42" s="20"/>
    </row>
    <row r="43" spans="1:4" s="96" customFormat="1">
      <c r="A43" s="338" t="s">
        <v>79</v>
      </c>
      <c r="B43" s="20"/>
      <c r="C43" s="20"/>
      <c r="D43" s="20"/>
    </row>
    <row r="44" spans="1:4" s="96" customFormat="1">
      <c r="A44" s="339" t="s">
        <v>80</v>
      </c>
      <c r="B44" s="20">
        <v>87251894</v>
      </c>
      <c r="C44" s="20">
        <v>-736286</v>
      </c>
      <c r="D44" s="20">
        <v>86515608</v>
      </c>
    </row>
    <row r="45" spans="1:4" s="96" customFormat="1">
      <c r="A45" s="339" t="s">
        <v>76</v>
      </c>
      <c r="B45" s="20">
        <v>-44047515</v>
      </c>
      <c r="C45" s="20">
        <v>-1756356</v>
      </c>
      <c r="D45" s="20">
        <v>-45803871</v>
      </c>
    </row>
    <row r="46" spans="1:4" s="96" customFormat="1">
      <c r="A46" s="339" t="s">
        <v>81</v>
      </c>
      <c r="B46" s="20">
        <v>-813932</v>
      </c>
      <c r="C46" s="20">
        <v>0</v>
      </c>
      <c r="D46" s="20">
        <v>-813932</v>
      </c>
    </row>
    <row r="47" spans="1:4" s="96" customFormat="1">
      <c r="A47" s="340" t="s">
        <v>82</v>
      </c>
      <c r="B47" s="17">
        <v>42390447</v>
      </c>
      <c r="C47" s="17">
        <v>-2492642</v>
      </c>
      <c r="D47" s="17">
        <v>39897805</v>
      </c>
    </row>
    <row r="48" spans="1:4" s="96" customFormat="1">
      <c r="A48" s="340"/>
      <c r="B48" s="17"/>
      <c r="C48" s="17"/>
      <c r="D48" s="17"/>
    </row>
    <row r="49" spans="1:4" s="96" customFormat="1">
      <c r="A49" s="338" t="s">
        <v>667</v>
      </c>
      <c r="B49" s="17"/>
      <c r="C49" s="17"/>
      <c r="D49" s="17"/>
    </row>
    <row r="50" spans="1:4" s="96" customFormat="1">
      <c r="A50" s="341" t="s">
        <v>668</v>
      </c>
      <c r="B50" s="20">
        <v>-4080200</v>
      </c>
      <c r="C50" s="20">
        <v>-9928120</v>
      </c>
      <c r="D50" s="20">
        <v>-14008320</v>
      </c>
    </row>
    <row r="51" spans="1:4" s="96" customFormat="1">
      <c r="A51" s="338" t="s">
        <v>894</v>
      </c>
      <c r="B51" s="20"/>
      <c r="C51" s="20"/>
      <c r="D51" s="20"/>
    </row>
    <row r="52" spans="1:4" s="96" customFormat="1">
      <c r="A52" s="341" t="s">
        <v>918</v>
      </c>
      <c r="B52" s="20"/>
      <c r="C52" s="20">
        <v>-1580000</v>
      </c>
      <c r="D52" s="20">
        <v>-1580000</v>
      </c>
    </row>
    <row r="53" spans="1:4" s="96" customFormat="1">
      <c r="A53" s="341"/>
      <c r="B53" s="20"/>
      <c r="C53" s="20"/>
      <c r="D53" s="20"/>
    </row>
    <row r="54" spans="1:4" s="96" customFormat="1">
      <c r="A54" s="340" t="s">
        <v>669</v>
      </c>
      <c r="B54" s="17">
        <v>-4080200</v>
      </c>
      <c r="C54" s="17">
        <v>-11508120</v>
      </c>
      <c r="D54" s="17">
        <v>-15588320</v>
      </c>
    </row>
    <row r="55" spans="1:4" s="96" customFormat="1">
      <c r="A55" s="340"/>
      <c r="B55" s="17"/>
      <c r="C55" s="17"/>
      <c r="D55" s="17"/>
    </row>
    <row r="56" spans="1:4" s="96" customFormat="1">
      <c r="A56" s="87" t="s">
        <v>938</v>
      </c>
      <c r="B56" s="17"/>
      <c r="C56" s="17"/>
      <c r="D56" s="17"/>
    </row>
    <row r="57" spans="1:4" s="96" customFormat="1">
      <c r="A57" s="87"/>
      <c r="B57" s="17"/>
      <c r="C57" s="17"/>
      <c r="D57" s="17"/>
    </row>
    <row r="58" spans="1:4" s="96" customFormat="1">
      <c r="A58" s="340" t="s">
        <v>936</v>
      </c>
      <c r="B58" s="17"/>
      <c r="C58" s="17">
        <v>10000000</v>
      </c>
      <c r="D58" s="17">
        <v>10000000</v>
      </c>
    </row>
    <row r="59" spans="1:4" s="96" customFormat="1">
      <c r="A59" s="341" t="s">
        <v>919</v>
      </c>
      <c r="B59" s="17"/>
      <c r="C59" s="20">
        <v>10000000</v>
      </c>
      <c r="D59" s="20">
        <v>10000000</v>
      </c>
    </row>
    <row r="60" spans="1:4" s="96" customFormat="1">
      <c r="A60" s="340"/>
      <c r="B60" s="17"/>
      <c r="C60" s="17"/>
      <c r="D60" s="17"/>
    </row>
    <row r="61" spans="1:4" s="96" customFormat="1">
      <c r="A61" s="340" t="s">
        <v>937</v>
      </c>
      <c r="B61" s="17">
        <v>-34800</v>
      </c>
      <c r="C61" s="17">
        <v>100000</v>
      </c>
      <c r="D61" s="17">
        <v>65200</v>
      </c>
    </row>
    <row r="62" spans="1:4" s="96" customFormat="1" ht="15.75">
      <c r="A62" s="28"/>
      <c r="B62" s="91"/>
      <c r="C62" s="91"/>
      <c r="D62" s="91"/>
    </row>
    <row r="63" spans="1:4" s="96" customFormat="1">
      <c r="A63" s="87" t="s">
        <v>168</v>
      </c>
      <c r="B63" s="20"/>
      <c r="C63" s="20"/>
      <c r="D63" s="20"/>
    </row>
    <row r="64" spans="1:4" s="96" customFormat="1">
      <c r="A64" s="19"/>
      <c r="B64" s="20"/>
      <c r="C64" s="20"/>
      <c r="D64" s="20"/>
    </row>
    <row r="65" spans="1:5" s="96" customFormat="1">
      <c r="A65" s="340" t="s">
        <v>83</v>
      </c>
      <c r="B65" s="17">
        <v>10867780</v>
      </c>
      <c r="C65" s="17">
        <v>0</v>
      </c>
      <c r="D65" s="17">
        <v>10867780</v>
      </c>
    </row>
    <row r="66" spans="1:5" s="96" customFormat="1">
      <c r="A66" s="341" t="s">
        <v>84</v>
      </c>
      <c r="B66" s="20">
        <v>30000000</v>
      </c>
      <c r="C66" s="20"/>
      <c r="D66" s="20">
        <v>30000000</v>
      </c>
    </row>
    <row r="67" spans="1:5" s="96" customFormat="1">
      <c r="A67" s="341" t="s">
        <v>85</v>
      </c>
      <c r="B67" s="20">
        <v>18489583</v>
      </c>
      <c r="C67" s="20"/>
      <c r="D67" s="20">
        <v>18489583</v>
      </c>
    </row>
    <row r="68" spans="1:5" s="96" customFormat="1">
      <c r="A68" s="339" t="s">
        <v>140</v>
      </c>
      <c r="B68" s="20">
        <v>642637</v>
      </c>
      <c r="C68" s="20"/>
      <c r="D68" s="20">
        <v>642637</v>
      </c>
    </row>
    <row r="69" spans="1:5" s="96" customFormat="1">
      <c r="A69" s="339"/>
      <c r="B69" s="20"/>
      <c r="C69" s="20"/>
      <c r="D69" s="20"/>
    </row>
    <row r="70" spans="1:5" s="96" customFormat="1">
      <c r="A70" s="340" t="s">
        <v>666</v>
      </c>
      <c r="B70" s="17">
        <v>-34800</v>
      </c>
      <c r="C70" s="17">
        <v>100000</v>
      </c>
      <c r="D70" s="17">
        <v>65200</v>
      </c>
    </row>
    <row r="71" spans="1:5" s="96" customFormat="1">
      <c r="A71" s="339"/>
      <c r="B71" s="20"/>
      <c r="C71" s="20"/>
      <c r="D71" s="20"/>
    </row>
    <row r="72" spans="1:5" s="96" customFormat="1">
      <c r="A72" s="29"/>
      <c r="B72" s="17"/>
      <c r="C72" s="17"/>
      <c r="D72" s="17"/>
    </row>
    <row r="73" spans="1:5" s="96" customFormat="1">
      <c r="A73" s="87" t="s">
        <v>87</v>
      </c>
      <c r="B73" s="45">
        <v>27442467</v>
      </c>
      <c r="C73" s="45">
        <v>-4000762</v>
      </c>
      <c r="D73" s="45">
        <v>23441705</v>
      </c>
    </row>
    <row r="74" spans="1:5" s="96" customFormat="1">
      <c r="A74" s="87"/>
      <c r="B74" s="45"/>
      <c r="C74" s="45"/>
      <c r="D74" s="45"/>
    </row>
    <row r="75" spans="1:5" s="96" customFormat="1">
      <c r="A75" s="29"/>
      <c r="B75" s="17"/>
      <c r="C75" s="17"/>
      <c r="D75" s="17"/>
    </row>
    <row r="76" spans="1:5" s="96" customFormat="1">
      <c r="A76" s="5" t="s">
        <v>88</v>
      </c>
      <c r="B76" s="103">
        <v>683110614</v>
      </c>
      <c r="C76" s="103">
        <v>44286511</v>
      </c>
      <c r="D76" s="103">
        <v>727397125</v>
      </c>
    </row>
    <row r="77" spans="1:5" s="96" customFormat="1">
      <c r="A77" s="5" t="s">
        <v>89</v>
      </c>
      <c r="B77" s="103">
        <v>683110614</v>
      </c>
      <c r="C77" s="103">
        <v>44286511</v>
      </c>
      <c r="D77" s="103">
        <v>727397125</v>
      </c>
    </row>
    <row r="78" spans="1:5">
      <c r="A78" s="5"/>
      <c r="B78" s="510"/>
      <c r="C78" s="510"/>
      <c r="D78" s="513"/>
    </row>
    <row r="79" spans="1:5">
      <c r="A79" s="35"/>
      <c r="B79" s="103">
        <f>B76-B77</f>
        <v>0</v>
      </c>
      <c r="C79" s="103">
        <f>C76-C77</f>
        <v>0</v>
      </c>
      <c r="D79" s="513"/>
      <c r="E79" s="94"/>
    </row>
    <row r="80" spans="1:5">
      <c r="B80" s="30"/>
      <c r="D80" s="535"/>
    </row>
    <row r="81" spans="1:4">
      <c r="A81" s="31"/>
      <c r="B81" s="30"/>
      <c r="D81" s="535"/>
    </row>
    <row r="82" spans="1:4">
      <c r="B82" s="30"/>
      <c r="D82" s="535"/>
    </row>
    <row r="83" spans="1:4">
      <c r="B83" s="30"/>
      <c r="D83" s="535"/>
    </row>
    <row r="84" spans="1:4">
      <c r="B84" s="30"/>
      <c r="D84" s="535"/>
    </row>
    <row r="85" spans="1:4">
      <c r="B85" s="30"/>
      <c r="D85" s="535"/>
    </row>
    <row r="86" spans="1:4">
      <c r="B86" s="30"/>
      <c r="D86" s="535"/>
    </row>
    <row r="87" spans="1:4">
      <c r="A87" s="31"/>
      <c r="B87" s="30"/>
      <c r="D87" s="535"/>
    </row>
    <row r="88" spans="1:4">
      <c r="B88" s="30"/>
      <c r="D88" s="535"/>
    </row>
    <row r="89" spans="1:4">
      <c r="B89" s="30"/>
      <c r="D89" s="535"/>
    </row>
    <row r="90" spans="1:4">
      <c r="B90" s="30"/>
      <c r="D90" s="535"/>
    </row>
  </sheetData>
  <mergeCells count="1">
    <mergeCell ref="B3:D3"/>
  </mergeCells>
  <phoneticPr fontId="36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</sheetPr>
  <dimension ref="A1:E60"/>
  <sheetViews>
    <sheetView showZeros="0" zoomScaleNormal="100" workbookViewId="0"/>
  </sheetViews>
  <sheetFormatPr defaultRowHeight="12.75"/>
  <cols>
    <col min="1" max="1" width="36" customWidth="1"/>
    <col min="2" max="2" width="11.42578125" style="96" customWidth="1"/>
    <col min="3" max="4" width="11.42578125" hidden="1" customWidth="1"/>
    <col min="5" max="5" width="11.42578125" customWidth="1"/>
  </cols>
  <sheetData>
    <row r="1" spans="1:5" ht="15">
      <c r="A1" s="32" t="s">
        <v>90</v>
      </c>
      <c r="C1" s="32"/>
      <c r="D1" s="32"/>
    </row>
    <row r="2" spans="1:5" s="96" customFormat="1" ht="12.75" customHeight="1">
      <c r="A2" s="32"/>
      <c r="C2" s="32"/>
      <c r="D2" s="32"/>
    </row>
    <row r="3" spans="1:5">
      <c r="A3" s="13"/>
      <c r="B3" s="33"/>
      <c r="C3" s="13"/>
      <c r="D3" s="13"/>
      <c r="E3" s="33" t="s">
        <v>52</v>
      </c>
    </row>
    <row r="4" spans="1:5" ht="24.75" customHeight="1">
      <c r="B4" s="596" t="s">
        <v>961</v>
      </c>
      <c r="C4" s="596"/>
      <c r="D4" s="596"/>
      <c r="E4" s="596"/>
    </row>
    <row r="5" spans="1:5" ht="25.5">
      <c r="A5" s="34" t="s">
        <v>91</v>
      </c>
      <c r="B5" s="591" t="s">
        <v>94</v>
      </c>
      <c r="C5" s="592" t="s">
        <v>92</v>
      </c>
      <c r="D5" s="592" t="s">
        <v>93</v>
      </c>
      <c r="E5" s="591" t="s">
        <v>836</v>
      </c>
    </row>
    <row r="6" spans="1:5" ht="7.5" customHeight="1">
      <c r="A6" s="1"/>
      <c r="B6" s="1"/>
      <c r="C6" s="1"/>
      <c r="D6" s="1"/>
      <c r="E6" s="1"/>
    </row>
    <row r="7" spans="1:5" ht="12.75" customHeight="1">
      <c r="A7" s="35" t="s">
        <v>95</v>
      </c>
      <c r="B7" s="6">
        <v>437595000</v>
      </c>
      <c r="C7" s="6">
        <f>C9+C13</f>
        <v>445795000</v>
      </c>
      <c r="D7" s="6"/>
      <c r="E7" s="6">
        <f>C7+D7</f>
        <v>445795000</v>
      </c>
    </row>
    <row r="8" spans="1:5" ht="12.75" customHeight="1">
      <c r="A8" s="1"/>
      <c r="B8" s="36"/>
      <c r="C8" s="36"/>
      <c r="D8" s="36"/>
      <c r="E8" s="36"/>
    </row>
    <row r="9" spans="1:5" ht="12.75" customHeight="1">
      <c r="A9" s="87" t="s">
        <v>56</v>
      </c>
      <c r="B9" s="6">
        <v>425830000</v>
      </c>
      <c r="C9" s="6">
        <f>C10+C11</f>
        <v>433530000</v>
      </c>
      <c r="D9" s="37"/>
      <c r="E9" s="6">
        <f>C9+D9</f>
        <v>433530000</v>
      </c>
    </row>
    <row r="10" spans="1:5" ht="12.75" customHeight="1">
      <c r="A10" s="88" t="s">
        <v>96</v>
      </c>
      <c r="B10" s="94">
        <v>400100000</v>
      </c>
      <c r="C10" s="18">
        <f>'2.1 LK TULUD'!D6</f>
        <v>407200000</v>
      </c>
      <c r="D10" s="39"/>
      <c r="E10" s="18">
        <f>C10+D10</f>
        <v>407200000</v>
      </c>
    </row>
    <row r="11" spans="1:5" ht="12.75" customHeight="1">
      <c r="A11" s="88" t="s">
        <v>97</v>
      </c>
      <c r="B11" s="94">
        <v>25730000</v>
      </c>
      <c r="C11" s="18">
        <f>'2.1 LK TULUD'!D9</f>
        <v>26330000</v>
      </c>
      <c r="D11" s="39"/>
      <c r="E11" s="18">
        <f>C11+D11</f>
        <v>26330000</v>
      </c>
    </row>
    <row r="12" spans="1:5" ht="12.75" customHeight="1">
      <c r="A12" s="57"/>
      <c r="B12" s="94"/>
      <c r="C12" s="18"/>
      <c r="D12" s="40"/>
      <c r="E12" s="18"/>
    </row>
    <row r="13" spans="1:5" ht="12.75" customHeight="1">
      <c r="A13" s="87" t="s">
        <v>57</v>
      </c>
      <c r="B13" s="6">
        <v>11765000</v>
      </c>
      <c r="C13" s="6">
        <f>SUM(C14:C16)</f>
        <v>12265000</v>
      </c>
      <c r="D13" s="37"/>
      <c r="E13" s="6">
        <f>C13+D13</f>
        <v>12265000</v>
      </c>
    </row>
    <row r="14" spans="1:5" ht="12.75" customHeight="1">
      <c r="A14" s="88" t="s">
        <v>98</v>
      </c>
      <c r="B14" s="94">
        <v>4200000</v>
      </c>
      <c r="C14" s="18">
        <f>'2.1 LK TULUD'!D13</f>
        <v>4700000</v>
      </c>
      <c r="D14" s="39"/>
      <c r="E14" s="18">
        <f>C14+D14</f>
        <v>4700000</v>
      </c>
    </row>
    <row r="15" spans="1:5" ht="12.75" customHeight="1">
      <c r="A15" s="116" t="s">
        <v>141</v>
      </c>
      <c r="B15" s="94">
        <v>1265000</v>
      </c>
      <c r="C15" s="18">
        <f>'2.1 LK TULUD'!D16</f>
        <v>1265000</v>
      </c>
      <c r="D15" s="39"/>
      <c r="E15" s="18">
        <f>C15+D15</f>
        <v>1265000</v>
      </c>
    </row>
    <row r="16" spans="1:5" ht="12.75" customHeight="1">
      <c r="A16" s="88" t="s">
        <v>99</v>
      </c>
      <c r="B16" s="94">
        <v>6300000</v>
      </c>
      <c r="C16" s="18">
        <f>'2.1 LK TULUD'!D19</f>
        <v>6300000</v>
      </c>
      <c r="D16" s="39"/>
      <c r="E16" s="18">
        <f>C16+D16</f>
        <v>6300000</v>
      </c>
    </row>
    <row r="17" spans="1:5" s="96" customFormat="1" ht="12.75" hidden="1" customHeight="1">
      <c r="A17" s="116"/>
      <c r="B17" s="94"/>
      <c r="C17" s="94"/>
      <c r="D17" s="39"/>
      <c r="E17" s="94"/>
    </row>
    <row r="18" spans="1:5" ht="12.75" customHeight="1">
      <c r="A18" s="41"/>
      <c r="B18" s="94"/>
      <c r="C18" s="18"/>
      <c r="D18" s="42"/>
      <c r="E18" s="18"/>
    </row>
    <row r="19" spans="1:5" ht="12.75" customHeight="1">
      <c r="A19" s="46" t="s">
        <v>58</v>
      </c>
      <c r="B19" s="6">
        <v>467800</v>
      </c>
      <c r="C19" s="6">
        <f>'2.1 LK TULUD'!D24</f>
        <v>604800</v>
      </c>
      <c r="D19" s="6"/>
      <c r="E19" s="6">
        <f>C19+D19</f>
        <v>604800</v>
      </c>
    </row>
    <row r="20" spans="1:5" ht="12.75" customHeight="1">
      <c r="A20" s="43"/>
      <c r="B20" s="94"/>
      <c r="C20" s="18"/>
      <c r="D20" s="44"/>
      <c r="E20" s="18"/>
    </row>
    <row r="21" spans="1:5" ht="12.75" customHeight="1">
      <c r="A21" s="35" t="s">
        <v>59</v>
      </c>
      <c r="B21" s="6">
        <v>76128309</v>
      </c>
      <c r="C21" s="6">
        <f>SUM(C22:C27)</f>
        <v>800400</v>
      </c>
      <c r="D21" s="6">
        <f ca="1">SUM(D22:D27)</f>
        <v>79280955</v>
      </c>
      <c r="E21" s="6">
        <f ca="1">C21+D21</f>
        <v>80081355</v>
      </c>
    </row>
    <row r="22" spans="1:5" ht="12.75" customHeight="1">
      <c r="A22" s="38" t="s">
        <v>49</v>
      </c>
      <c r="B22" s="102">
        <v>60572212</v>
      </c>
      <c r="C22" s="18"/>
      <c r="D22" s="18">
        <f ca="1">Sheet2!E3</f>
        <v>63458030</v>
      </c>
      <c r="E22" s="102">
        <f ca="1">C22+D22</f>
        <v>63458030</v>
      </c>
    </row>
    <row r="23" spans="1:5" ht="12.75" customHeight="1">
      <c r="A23" s="38" t="s">
        <v>126</v>
      </c>
      <c r="B23" s="102">
        <v>8791141</v>
      </c>
      <c r="C23" s="18"/>
      <c r="D23" s="18">
        <f ca="1">Sheet2!E17</f>
        <v>9302336</v>
      </c>
      <c r="E23" s="102">
        <f ca="1">C23+D23</f>
        <v>9302336</v>
      </c>
    </row>
    <row r="24" spans="1:5" ht="12.75" customHeight="1">
      <c r="A24" s="38" t="s">
        <v>133</v>
      </c>
      <c r="B24" s="102">
        <v>3083781</v>
      </c>
      <c r="C24" s="18">
        <f>'2.1 LK TULUD'!D30</f>
        <v>800400</v>
      </c>
      <c r="D24" s="18">
        <f ca="1">Sheet2!E16</f>
        <v>2518891</v>
      </c>
      <c r="E24" s="102">
        <f ca="1">C24+D24</f>
        <v>3319291</v>
      </c>
    </row>
    <row r="25" spans="1:5" s="115" customFormat="1" ht="12.75" hidden="1" customHeight="1">
      <c r="A25" s="569" t="s">
        <v>891</v>
      </c>
      <c r="B25" s="103"/>
      <c r="C25" s="72"/>
      <c r="D25" s="72"/>
      <c r="E25" s="103">
        <f>C24</f>
        <v>800400</v>
      </c>
    </row>
    <row r="26" spans="1:5" s="115" customFormat="1" ht="12.75" hidden="1" customHeight="1">
      <c r="A26" s="569" t="s">
        <v>150</v>
      </c>
      <c r="B26" s="103"/>
      <c r="C26" s="72"/>
      <c r="D26" s="72"/>
      <c r="E26" s="103">
        <f ca="1">D24</f>
        <v>2518891</v>
      </c>
    </row>
    <row r="27" spans="1:5" ht="12.75" customHeight="1">
      <c r="A27" s="109" t="s">
        <v>127</v>
      </c>
      <c r="B27" s="103">
        <v>3681175</v>
      </c>
      <c r="C27" s="72"/>
      <c r="D27" s="72">
        <f ca="1">Sheet2!E15</f>
        <v>4001698</v>
      </c>
      <c r="E27" s="103">
        <f ca="1">C27+D27</f>
        <v>4001698</v>
      </c>
    </row>
    <row r="28" spans="1:5" ht="12.75" customHeight="1">
      <c r="A28" s="48"/>
      <c r="B28" s="103"/>
      <c r="C28" s="72"/>
      <c r="D28" s="72"/>
      <c r="E28" s="103"/>
    </row>
    <row r="29" spans="1:5" ht="12.75" customHeight="1">
      <c r="A29" s="35" t="s">
        <v>60</v>
      </c>
      <c r="B29" s="45">
        <v>854000</v>
      </c>
      <c r="C29" s="45">
        <f>SUM(C30:C31)</f>
        <v>647579</v>
      </c>
      <c r="D29" s="45">
        <f ca="1">SUM(D30:D31)</f>
        <v>239900</v>
      </c>
      <c r="E29" s="45">
        <f ca="1">C29+D29</f>
        <v>887479</v>
      </c>
    </row>
    <row r="30" spans="1:5" ht="12.75" customHeight="1">
      <c r="A30" s="109" t="s">
        <v>100</v>
      </c>
      <c r="B30" s="103">
        <v>616000</v>
      </c>
      <c r="C30" s="72">
        <f>'2.1 LK TULUD'!D39</f>
        <v>516000</v>
      </c>
      <c r="D30" s="570"/>
      <c r="E30" s="103">
        <f>C30+D30</f>
        <v>516000</v>
      </c>
    </row>
    <row r="31" spans="1:5" ht="12.75" customHeight="1">
      <c r="A31" s="109" t="s">
        <v>132</v>
      </c>
      <c r="B31" s="103">
        <v>238000</v>
      </c>
      <c r="C31" s="72">
        <f>'2.1 LK TULUD'!D44</f>
        <v>131579</v>
      </c>
      <c r="D31" s="72">
        <f ca="1">Sheet2!E14</f>
        <v>239900</v>
      </c>
      <c r="E31" s="103">
        <f ca="1">C31+D31</f>
        <v>371479</v>
      </c>
    </row>
    <row r="32" spans="1:5" s="115" customFormat="1" ht="12.75" hidden="1" customHeight="1">
      <c r="A32" s="569" t="s">
        <v>891</v>
      </c>
      <c r="B32" s="103"/>
      <c r="C32" s="72"/>
      <c r="D32" s="72"/>
      <c r="E32" s="103">
        <f>C31</f>
        <v>131579</v>
      </c>
    </row>
    <row r="33" spans="1:5" s="115" customFormat="1" ht="12.75" hidden="1" customHeight="1">
      <c r="A33" s="569" t="s">
        <v>150</v>
      </c>
      <c r="B33" s="103"/>
      <c r="C33" s="72"/>
      <c r="D33" s="72"/>
      <c r="E33" s="103">
        <f ca="1">D31</f>
        <v>239900</v>
      </c>
    </row>
    <row r="34" spans="1:5" ht="12.75" customHeight="1">
      <c r="A34" s="1"/>
      <c r="B34" s="102"/>
      <c r="C34" s="18"/>
      <c r="D34" s="36"/>
      <c r="E34" s="102"/>
    </row>
    <row r="35" spans="1:5" ht="12.75" customHeight="1">
      <c r="A35" s="35" t="s">
        <v>61</v>
      </c>
      <c r="B35" s="45">
        <v>10000</v>
      </c>
      <c r="C35" s="45">
        <f>C36</f>
        <v>10000</v>
      </c>
      <c r="D35" s="6"/>
      <c r="E35" s="45">
        <f>C35+D35</f>
        <v>10000</v>
      </c>
    </row>
    <row r="36" spans="1:5" ht="12.75" customHeight="1">
      <c r="A36" s="38" t="s">
        <v>101</v>
      </c>
      <c r="B36" s="102">
        <v>10000</v>
      </c>
      <c r="C36" s="18">
        <f>'2.1 LK TULUD'!D53</f>
        <v>10000</v>
      </c>
      <c r="D36" s="39"/>
      <c r="E36" s="102">
        <f>C36+D36</f>
        <v>10000</v>
      </c>
    </row>
    <row r="37" spans="1:5" ht="12.75" customHeight="1">
      <c r="A37" s="1"/>
      <c r="B37" s="102"/>
      <c r="C37" s="18"/>
      <c r="D37" s="36"/>
      <c r="E37" s="102"/>
    </row>
    <row r="38" spans="1:5" ht="12.75" customHeight="1">
      <c r="A38" s="35" t="s">
        <v>102</v>
      </c>
      <c r="B38" s="45">
        <v>2000684</v>
      </c>
      <c r="C38" s="45">
        <f>SUM(C39:C41)</f>
        <v>2005739</v>
      </c>
      <c r="D38" s="6"/>
      <c r="E38" s="45">
        <f>C38+D38</f>
        <v>2005739</v>
      </c>
    </row>
    <row r="39" spans="1:5" ht="12.75" customHeight="1">
      <c r="A39" s="38" t="s">
        <v>115</v>
      </c>
      <c r="B39" s="102">
        <v>2824616</v>
      </c>
      <c r="C39" s="18">
        <f>'2.1 LK TULUD'!D57</f>
        <v>2829671</v>
      </c>
      <c r="D39" s="36"/>
      <c r="E39" s="102">
        <f>C39+D39</f>
        <v>2829671</v>
      </c>
    </row>
    <row r="40" spans="1:5" ht="12.75" customHeight="1">
      <c r="A40" s="38" t="s">
        <v>29</v>
      </c>
      <c r="B40" s="102">
        <v>-813932</v>
      </c>
      <c r="C40" s="18">
        <f>'2.1 LK TULUD'!D61</f>
        <v>-813932</v>
      </c>
      <c r="D40" s="36"/>
      <c r="E40" s="102">
        <f>C40+D40</f>
        <v>-813932</v>
      </c>
    </row>
    <row r="41" spans="1:5" ht="12.75" customHeight="1">
      <c r="A41" s="38" t="s">
        <v>64</v>
      </c>
      <c r="B41" s="102">
        <v>-10000</v>
      </c>
      <c r="C41" s="18">
        <f>'2.1 LK TULUD'!D62</f>
        <v>-10000</v>
      </c>
      <c r="D41" s="36"/>
      <c r="E41" s="102">
        <f>C41+D41</f>
        <v>-10000</v>
      </c>
    </row>
    <row r="42" spans="1:5" ht="12.75" customHeight="1">
      <c r="A42" s="1"/>
      <c r="B42" s="102"/>
      <c r="C42" s="18"/>
      <c r="D42" s="36"/>
      <c r="E42" s="102"/>
    </row>
    <row r="43" spans="1:5" ht="12.75" customHeight="1">
      <c r="A43" s="35" t="s">
        <v>65</v>
      </c>
      <c r="B43" s="45">
        <v>367000</v>
      </c>
      <c r="C43" s="45">
        <f>SUM(C44:C45)</f>
        <v>470305</v>
      </c>
      <c r="D43" s="6">
        <f ca="1">D46</f>
        <v>-100000</v>
      </c>
      <c r="E43" s="45">
        <f ca="1">C43+D43</f>
        <v>370305</v>
      </c>
    </row>
    <row r="44" spans="1:5" ht="12.75" customHeight="1">
      <c r="A44" s="109" t="s">
        <v>142</v>
      </c>
      <c r="B44" s="102">
        <v>400000</v>
      </c>
      <c r="C44" s="18">
        <f>'2.1 LK TULUD'!D65</f>
        <v>400000</v>
      </c>
      <c r="D44" s="39"/>
      <c r="E44" s="102">
        <f>C44+D44</f>
        <v>400000</v>
      </c>
    </row>
    <row r="45" spans="1:5" ht="12.75" customHeight="1">
      <c r="A45" s="38" t="s">
        <v>50</v>
      </c>
      <c r="B45" s="102">
        <v>67000</v>
      </c>
      <c r="C45" s="18">
        <f>'2.1 LK TULUD'!D67</f>
        <v>70305</v>
      </c>
      <c r="D45" s="39"/>
      <c r="E45" s="102">
        <f>C45+D45</f>
        <v>70305</v>
      </c>
    </row>
    <row r="46" spans="1:5" s="96" customFormat="1" ht="12.75" customHeight="1">
      <c r="A46" s="109" t="s">
        <v>146</v>
      </c>
      <c r="B46" s="102">
        <v>-100000</v>
      </c>
      <c r="C46" s="94"/>
      <c r="D46" s="102">
        <f ca="1">Sheet2!E19</f>
        <v>-100000</v>
      </c>
      <c r="E46" s="102">
        <f ca="1">C46+D46</f>
        <v>-100000</v>
      </c>
    </row>
    <row r="47" spans="1:5" ht="12.75" customHeight="1">
      <c r="A47" s="1"/>
      <c r="B47" s="102"/>
      <c r="C47" s="18"/>
      <c r="D47" s="36"/>
      <c r="E47" s="102"/>
    </row>
    <row r="48" spans="1:5" ht="12.75" customHeight="1">
      <c r="A48" s="35" t="s">
        <v>66</v>
      </c>
      <c r="B48" s="6">
        <v>7260000</v>
      </c>
      <c r="C48" s="6">
        <f>'2.1 LK TULUD'!D69</f>
        <v>7260000</v>
      </c>
      <c r="D48" s="6"/>
      <c r="E48" s="6">
        <f>C48+D48</f>
        <v>7260000</v>
      </c>
    </row>
    <row r="49" spans="1:5" ht="12.75" customHeight="1">
      <c r="A49" s="35"/>
      <c r="B49" s="102"/>
      <c r="C49" s="18"/>
      <c r="D49" s="6"/>
      <c r="E49" s="102"/>
    </row>
    <row r="50" spans="1:5" ht="12.75" customHeight="1">
      <c r="A50" s="46" t="s">
        <v>103</v>
      </c>
      <c r="B50" s="45">
        <v>524682793</v>
      </c>
      <c r="C50" s="45">
        <f t="shared" ref="C50:E50" si="0">C7+C19+C21+C29+C35+C38+C43+C48</f>
        <v>457593823</v>
      </c>
      <c r="D50" s="45">
        <f t="shared" ca="1" si="0"/>
        <v>79420855</v>
      </c>
      <c r="E50" s="45">
        <f t="shared" ca="1" si="0"/>
        <v>537014678</v>
      </c>
    </row>
    <row r="51" spans="1:5" ht="12.75" customHeight="1">
      <c r="A51" s="35"/>
      <c r="B51" s="102"/>
      <c r="C51" s="18"/>
      <c r="D51" s="6"/>
      <c r="E51" s="102"/>
    </row>
    <row r="52" spans="1:5" ht="12.75" customHeight="1">
      <c r="A52" s="35" t="s">
        <v>104</v>
      </c>
      <c r="B52" s="45">
        <v>123498889</v>
      </c>
      <c r="C52" s="45">
        <f>SUM(C53:C55)</f>
        <v>142164015</v>
      </c>
      <c r="D52" s="45">
        <f>SUM(D53:D55)</f>
        <v>1881380</v>
      </c>
      <c r="E52" s="45">
        <f>C52+D52</f>
        <v>144045395</v>
      </c>
    </row>
    <row r="53" spans="1:5" ht="12.75" customHeight="1">
      <c r="A53" s="1" t="s">
        <v>105</v>
      </c>
      <c r="B53" s="102">
        <v>93199352</v>
      </c>
      <c r="C53" s="18">
        <f>'2.3 TOETUSED'!D8</f>
        <v>112703320</v>
      </c>
      <c r="D53" s="36"/>
      <c r="E53" s="102">
        <f>C53+D53</f>
        <v>112703320</v>
      </c>
    </row>
    <row r="54" spans="1:5" ht="12.75" customHeight="1">
      <c r="A54" s="38" t="s">
        <v>106</v>
      </c>
      <c r="B54" s="102">
        <v>28518004</v>
      </c>
      <c r="C54" s="18">
        <f>'2.3 TOETUSED'!D85</f>
        <v>27388504</v>
      </c>
      <c r="D54" s="18">
        <f>'2.3 TOETUSED'!D39</f>
        <v>1881380</v>
      </c>
      <c r="E54" s="102">
        <f>C54+D54</f>
        <v>29269884</v>
      </c>
    </row>
    <row r="55" spans="1:5" s="96" customFormat="1" ht="12.75" customHeight="1">
      <c r="A55" s="109" t="s">
        <v>145</v>
      </c>
      <c r="B55" s="102">
        <v>1781533</v>
      </c>
      <c r="C55" s="94">
        <f>'2.3 TOETUSED'!D21</f>
        <v>2072191</v>
      </c>
      <c r="D55" s="36"/>
      <c r="E55" s="102">
        <f>C55+D55</f>
        <v>2072191</v>
      </c>
    </row>
    <row r="56" spans="1:5" ht="12.75" customHeight="1">
      <c r="A56" s="1"/>
      <c r="B56" s="94"/>
      <c r="C56" s="18"/>
      <c r="D56" s="36"/>
      <c r="E56" s="18"/>
    </row>
    <row r="57" spans="1:5" ht="12.75" customHeight="1">
      <c r="A57" s="35" t="s">
        <v>94</v>
      </c>
      <c r="B57" s="45">
        <v>648181682</v>
      </c>
      <c r="C57" s="45">
        <f t="shared" ref="C57:E57" si="1">C50+C52</f>
        <v>599757838</v>
      </c>
      <c r="D57" s="45">
        <f t="shared" ca="1" si="1"/>
        <v>81302235</v>
      </c>
      <c r="E57" s="45">
        <f t="shared" ca="1" si="1"/>
        <v>681060073</v>
      </c>
    </row>
    <row r="58" spans="1:5">
      <c r="B58" s="94"/>
      <c r="E58" s="94"/>
    </row>
    <row r="59" spans="1:5">
      <c r="B59" s="94"/>
      <c r="E59" s="94"/>
    </row>
    <row r="60" spans="1:5">
      <c r="B60" s="454"/>
      <c r="E60" s="454"/>
    </row>
  </sheetData>
  <autoFilter ref="A5:E57"/>
  <mergeCells count="1">
    <mergeCell ref="B4:E4"/>
  </mergeCells>
  <phoneticPr fontId="36" type="noConversion"/>
  <printOptions gridLines="1"/>
  <pageMargins left="1.1811023622047245" right="0.47244094488188981" top="0.47244094488188981" bottom="0.98425196850393704" header="0.51181102362204722" footer="0.51181102362204722"/>
  <pageSetup paperSize="9" scale="9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79998168889431442"/>
  </sheetPr>
  <dimension ref="A1:D106"/>
  <sheetViews>
    <sheetView showZeros="0" zoomScaleNormal="100" workbookViewId="0">
      <pane ySplit="4" topLeftCell="A5" activePane="bottomLeft" state="frozen"/>
      <selection activeCell="F154" sqref="F154"/>
      <selection pane="bottomLeft"/>
    </sheetView>
  </sheetViews>
  <sheetFormatPr defaultColWidth="9.140625" defaultRowHeight="12.75"/>
  <cols>
    <col min="1" max="1" width="35.140625" style="93" customWidth="1"/>
    <col min="2" max="2" width="12.28515625" style="93" customWidth="1"/>
    <col min="3" max="3" width="12.28515625" style="93" hidden="1" customWidth="1"/>
    <col min="4" max="4" width="12.28515625" style="93" customWidth="1"/>
    <col min="5" max="16384" width="9.140625" style="93"/>
  </cols>
  <sheetData>
    <row r="1" spans="1:4">
      <c r="A1" s="35" t="s">
        <v>946</v>
      </c>
    </row>
    <row r="2" spans="1:4" ht="12.75" customHeight="1">
      <c r="A2" s="567"/>
    </row>
    <row r="3" spans="1:4" ht="27" customHeight="1">
      <c r="A3" s="104"/>
      <c r="B3" s="593">
        <v>2018</v>
      </c>
      <c r="C3" s="594"/>
      <c r="D3" s="595"/>
    </row>
    <row r="4" spans="1:4" ht="27.75" customHeight="1">
      <c r="A4" s="104"/>
      <c r="B4" s="576" t="s">
        <v>835</v>
      </c>
      <c r="C4" s="575" t="s">
        <v>940</v>
      </c>
      <c r="D4" s="577" t="s">
        <v>836</v>
      </c>
    </row>
    <row r="5" spans="1:4" ht="12.75" customHeight="1">
      <c r="A5" s="49" t="s">
        <v>56</v>
      </c>
      <c r="B5" s="417">
        <f>B6+B9</f>
        <v>425830000</v>
      </c>
      <c r="C5" s="417">
        <f>C6+C9</f>
        <v>7700000</v>
      </c>
      <c r="D5" s="417">
        <f>B5+C5</f>
        <v>433530000</v>
      </c>
    </row>
    <row r="6" spans="1:4" ht="12.75" customHeight="1">
      <c r="A6" s="48" t="s">
        <v>96</v>
      </c>
      <c r="B6" s="418">
        <f>B7</f>
        <v>400100000</v>
      </c>
      <c r="C6" s="418">
        <f>C7</f>
        <v>7100000</v>
      </c>
      <c r="D6" s="418">
        <f t="shared" ref="D6:D71" si="0">B6+C6</f>
        <v>407200000</v>
      </c>
    </row>
    <row r="7" spans="1:4" ht="12.75" customHeight="1">
      <c r="A7" s="43" t="s">
        <v>92</v>
      </c>
      <c r="B7" s="419">
        <f>393100000+7000000</f>
        <v>400100000</v>
      </c>
      <c r="C7" s="419">
        <v>7100000</v>
      </c>
      <c r="D7" s="419">
        <f t="shared" si="0"/>
        <v>407200000</v>
      </c>
    </row>
    <row r="8" spans="1:4">
      <c r="A8" s="43"/>
      <c r="B8" s="420"/>
      <c r="C8" s="420"/>
      <c r="D8" s="420">
        <f t="shared" si="0"/>
        <v>0</v>
      </c>
    </row>
    <row r="9" spans="1:4" ht="12.75" customHeight="1">
      <c r="A9" s="48" t="s">
        <v>97</v>
      </c>
      <c r="B9" s="420">
        <f>B10</f>
        <v>25730000</v>
      </c>
      <c r="C9" s="420">
        <f>C10</f>
        <v>600000</v>
      </c>
      <c r="D9" s="420">
        <f t="shared" si="0"/>
        <v>26330000</v>
      </c>
    </row>
    <row r="10" spans="1:4" ht="12.75" customHeight="1">
      <c r="A10" s="43" t="s">
        <v>92</v>
      </c>
      <c r="B10" s="419">
        <v>25730000</v>
      </c>
      <c r="C10" s="419">
        <v>600000</v>
      </c>
      <c r="D10" s="419">
        <f t="shared" si="0"/>
        <v>26330000</v>
      </c>
    </row>
    <row r="11" spans="1:4">
      <c r="A11" s="48"/>
      <c r="B11" s="420"/>
      <c r="C11" s="420"/>
      <c r="D11" s="420">
        <f t="shared" si="0"/>
        <v>0</v>
      </c>
    </row>
    <row r="12" spans="1:4">
      <c r="A12" s="49" t="s">
        <v>57</v>
      </c>
      <c r="B12" s="421">
        <f>B13+B16+B19</f>
        <v>11765000</v>
      </c>
      <c r="C12" s="421">
        <f>C13</f>
        <v>500000</v>
      </c>
      <c r="D12" s="421">
        <f t="shared" si="0"/>
        <v>12265000</v>
      </c>
    </row>
    <row r="13" spans="1:4" ht="12.75" customHeight="1">
      <c r="A13" s="53" t="s">
        <v>98</v>
      </c>
      <c r="B13" s="420">
        <f>B14</f>
        <v>4200000</v>
      </c>
      <c r="C13" s="420">
        <f>C14</f>
        <v>500000</v>
      </c>
      <c r="D13" s="420">
        <f t="shared" si="0"/>
        <v>4700000</v>
      </c>
    </row>
    <row r="14" spans="1:4">
      <c r="A14" s="554" t="s">
        <v>107</v>
      </c>
      <c r="B14" s="352">
        <f>4100000+100000</f>
        <v>4200000</v>
      </c>
      <c r="C14" s="352">
        <f>300000+200000</f>
        <v>500000</v>
      </c>
      <c r="D14" s="352">
        <f t="shared" si="0"/>
        <v>4700000</v>
      </c>
    </row>
    <row r="15" spans="1:4" ht="12.75" customHeight="1">
      <c r="A15" s="55"/>
      <c r="B15" s="420"/>
      <c r="C15" s="420"/>
      <c r="D15" s="420">
        <f t="shared" si="0"/>
        <v>0</v>
      </c>
    </row>
    <row r="16" spans="1:4" ht="12.75" customHeight="1">
      <c r="A16" s="53" t="s">
        <v>141</v>
      </c>
      <c r="B16" s="420">
        <f>B17</f>
        <v>1265000</v>
      </c>
      <c r="C16" s="420"/>
      <c r="D16" s="420">
        <f t="shared" si="0"/>
        <v>1265000</v>
      </c>
    </row>
    <row r="17" spans="1:4" ht="12.75" customHeight="1">
      <c r="A17" s="56" t="s">
        <v>108</v>
      </c>
      <c r="B17" s="419">
        <f>1250000+15000</f>
        <v>1265000</v>
      </c>
      <c r="C17" s="419"/>
      <c r="D17" s="419">
        <f t="shared" si="0"/>
        <v>1265000</v>
      </c>
    </row>
    <row r="18" spans="1:4" ht="12.75" customHeight="1">
      <c r="A18" s="55"/>
      <c r="B18" s="420"/>
      <c r="C18" s="420"/>
      <c r="D18" s="420">
        <f t="shared" si="0"/>
        <v>0</v>
      </c>
    </row>
    <row r="19" spans="1:4">
      <c r="A19" s="53" t="s">
        <v>99</v>
      </c>
      <c r="B19" s="420">
        <f>B20</f>
        <v>6300000</v>
      </c>
      <c r="C19" s="420"/>
      <c r="D19" s="420">
        <f t="shared" si="0"/>
        <v>6300000</v>
      </c>
    </row>
    <row r="20" spans="1:4" ht="12.75" customHeight="1">
      <c r="A20" s="56" t="s">
        <v>108</v>
      </c>
      <c r="B20" s="419">
        <v>6300000</v>
      </c>
      <c r="C20" s="419"/>
      <c r="D20" s="419">
        <f t="shared" si="0"/>
        <v>6300000</v>
      </c>
    </row>
    <row r="21" spans="1:4" hidden="1">
      <c r="A21" s="56"/>
      <c r="B21" s="419"/>
      <c r="C21" s="420"/>
      <c r="D21" s="419">
        <f t="shared" si="0"/>
        <v>0</v>
      </c>
    </row>
    <row r="22" spans="1:4" ht="12.75" hidden="1" customHeight="1">
      <c r="A22" s="53"/>
      <c r="B22" s="420"/>
      <c r="C22" s="420"/>
      <c r="D22" s="420">
        <f t="shared" si="0"/>
        <v>0</v>
      </c>
    </row>
    <row r="23" spans="1:4">
      <c r="A23" s="56"/>
      <c r="B23" s="420"/>
      <c r="C23" s="420"/>
      <c r="D23" s="420">
        <f t="shared" si="0"/>
        <v>0</v>
      </c>
    </row>
    <row r="24" spans="1:4">
      <c r="A24" s="49" t="s">
        <v>58</v>
      </c>
      <c r="B24" s="421">
        <f>SUM(B25:B28)</f>
        <v>467800</v>
      </c>
      <c r="C24" s="421">
        <f>SUM(C25:C28)</f>
        <v>137000</v>
      </c>
      <c r="D24" s="421">
        <f t="shared" si="0"/>
        <v>604800</v>
      </c>
    </row>
    <row r="25" spans="1:4">
      <c r="A25" s="56" t="s">
        <v>109</v>
      </c>
      <c r="B25" s="419">
        <v>2800</v>
      </c>
      <c r="C25" s="419"/>
      <c r="D25" s="419">
        <f t="shared" si="0"/>
        <v>2800</v>
      </c>
    </row>
    <row r="26" spans="1:4" ht="12.75" customHeight="1">
      <c r="A26" s="56" t="s">
        <v>108</v>
      </c>
      <c r="B26" s="419">
        <v>35000</v>
      </c>
      <c r="C26" s="419">
        <v>17000</v>
      </c>
      <c r="D26" s="419">
        <f t="shared" si="0"/>
        <v>52000</v>
      </c>
    </row>
    <row r="27" spans="1:4">
      <c r="A27" s="500" t="s">
        <v>114</v>
      </c>
      <c r="B27" s="419"/>
      <c r="C27" s="352">
        <f>80000+40000</f>
        <v>120000</v>
      </c>
      <c r="D27" s="352">
        <f t="shared" si="0"/>
        <v>120000</v>
      </c>
    </row>
    <row r="28" spans="1:4">
      <c r="A28" s="43" t="s">
        <v>110</v>
      </c>
      <c r="B28" s="419">
        <v>430000</v>
      </c>
      <c r="C28" s="419"/>
      <c r="D28" s="419">
        <f t="shared" si="0"/>
        <v>430000</v>
      </c>
    </row>
    <row r="29" spans="1:4">
      <c r="A29" s="56"/>
      <c r="B29" s="416"/>
      <c r="C29" s="416"/>
      <c r="D29" s="416">
        <f t="shared" si="0"/>
        <v>0</v>
      </c>
    </row>
    <row r="30" spans="1:4">
      <c r="A30" s="117" t="s">
        <v>133</v>
      </c>
      <c r="B30" s="421">
        <f>B31+B33</f>
        <v>723340</v>
      </c>
      <c r="C30" s="421">
        <f>C31+C33</f>
        <v>77060</v>
      </c>
      <c r="D30" s="421">
        <f t="shared" si="0"/>
        <v>800400</v>
      </c>
    </row>
    <row r="31" spans="1:4">
      <c r="A31" s="38" t="s">
        <v>111</v>
      </c>
      <c r="B31" s="420">
        <f>B32</f>
        <v>556550</v>
      </c>
      <c r="C31" s="420">
        <f>C32</f>
        <v>74060</v>
      </c>
      <c r="D31" s="420">
        <f t="shared" si="0"/>
        <v>630610</v>
      </c>
    </row>
    <row r="32" spans="1:4">
      <c r="A32" s="500" t="s">
        <v>112</v>
      </c>
      <c r="B32" s="501">
        <v>556550</v>
      </c>
      <c r="C32" s="422">
        <v>74060</v>
      </c>
      <c r="D32" s="501">
        <f t="shared" si="0"/>
        <v>630610</v>
      </c>
    </row>
    <row r="33" spans="1:4">
      <c r="A33" s="38" t="s">
        <v>113</v>
      </c>
      <c r="B33" s="420">
        <f>B34+B35</f>
        <v>166790</v>
      </c>
      <c r="C33" s="420">
        <f>C34</f>
        <v>3000</v>
      </c>
      <c r="D33" s="420">
        <f t="shared" si="0"/>
        <v>169790</v>
      </c>
    </row>
    <row r="34" spans="1:4">
      <c r="A34" s="500" t="s">
        <v>112</v>
      </c>
      <c r="B34" s="423">
        <v>166790</v>
      </c>
      <c r="C34" s="423">
        <v>3000</v>
      </c>
      <c r="D34" s="423">
        <f t="shared" si="0"/>
        <v>169790</v>
      </c>
    </row>
    <row r="35" spans="1:4" ht="12.75" customHeight="1">
      <c r="A35" s="109"/>
      <c r="B35" s="95"/>
      <c r="C35" s="423"/>
      <c r="D35" s="95">
        <f t="shared" si="0"/>
        <v>0</v>
      </c>
    </row>
    <row r="36" spans="1:4" ht="12.75" customHeight="1">
      <c r="A36" s="109"/>
      <c r="B36" s="508"/>
      <c r="C36" s="95"/>
      <c r="D36" s="508"/>
    </row>
    <row r="37" spans="1:4">
      <c r="A37" s="49" t="s">
        <v>60</v>
      </c>
      <c r="B37" s="421">
        <f>B39+B44</f>
        <v>704000</v>
      </c>
      <c r="C37" s="421">
        <f>C39+C44</f>
        <v>-56421</v>
      </c>
      <c r="D37" s="421">
        <f t="shared" si="0"/>
        <v>647579</v>
      </c>
    </row>
    <row r="38" spans="1:4">
      <c r="A38" s="56"/>
      <c r="B38" s="420"/>
      <c r="C38" s="420"/>
      <c r="D38" s="420">
        <f t="shared" si="0"/>
        <v>0</v>
      </c>
    </row>
    <row r="39" spans="1:4">
      <c r="A39" s="53" t="s">
        <v>100</v>
      </c>
      <c r="B39" s="420">
        <f>SUM(B40:B43)</f>
        <v>616000</v>
      </c>
      <c r="C39" s="420">
        <f>SUM(C40:C43)</f>
        <v>-100000</v>
      </c>
      <c r="D39" s="420">
        <f t="shared" si="0"/>
        <v>516000</v>
      </c>
    </row>
    <row r="40" spans="1:4">
      <c r="A40" s="43" t="s">
        <v>108</v>
      </c>
      <c r="B40" s="419">
        <v>16000</v>
      </c>
      <c r="C40" s="419"/>
      <c r="D40" s="419">
        <f t="shared" si="0"/>
        <v>16000</v>
      </c>
    </row>
    <row r="41" spans="1:4">
      <c r="A41" s="500" t="s">
        <v>114</v>
      </c>
      <c r="B41" s="352">
        <v>600000</v>
      </c>
      <c r="C41" s="352">
        <v>-100000</v>
      </c>
      <c r="D41" s="352">
        <f t="shared" si="0"/>
        <v>500000</v>
      </c>
    </row>
    <row r="42" spans="1:4">
      <c r="A42" s="43"/>
      <c r="B42" s="419"/>
      <c r="C42" s="419"/>
      <c r="D42" s="419">
        <f t="shared" si="0"/>
        <v>0</v>
      </c>
    </row>
    <row r="43" spans="1:4">
      <c r="A43" s="55"/>
      <c r="B43" s="420"/>
      <c r="C43" s="420"/>
      <c r="D43" s="420">
        <f t="shared" si="0"/>
        <v>0</v>
      </c>
    </row>
    <row r="44" spans="1:4">
      <c r="A44" s="53" t="s">
        <v>132</v>
      </c>
      <c r="B44" s="420">
        <f>B45+B50</f>
        <v>88000</v>
      </c>
      <c r="C44" s="420">
        <f>C45+C50+C48</f>
        <v>43579</v>
      </c>
      <c r="D44" s="420">
        <f t="shared" si="0"/>
        <v>131579</v>
      </c>
    </row>
    <row r="45" spans="1:4">
      <c r="A45" s="85" t="s">
        <v>27</v>
      </c>
      <c r="B45" s="420">
        <f>B46+B47</f>
        <v>38000</v>
      </c>
      <c r="C45" s="420"/>
      <c r="D45" s="420">
        <f t="shared" si="0"/>
        <v>38000</v>
      </c>
    </row>
    <row r="46" spans="1:4">
      <c r="A46" s="500" t="s">
        <v>107</v>
      </c>
      <c r="B46" s="352">
        <v>28000</v>
      </c>
      <c r="C46" s="419"/>
      <c r="D46" s="352">
        <f t="shared" si="0"/>
        <v>28000</v>
      </c>
    </row>
    <row r="47" spans="1:4">
      <c r="A47" s="43" t="s">
        <v>110</v>
      </c>
      <c r="B47" s="419">
        <v>10000</v>
      </c>
      <c r="C47" s="419"/>
      <c r="D47" s="419">
        <f t="shared" si="0"/>
        <v>10000</v>
      </c>
    </row>
    <row r="48" spans="1:4">
      <c r="A48" s="85"/>
      <c r="B48" s="420"/>
      <c r="C48" s="420">
        <f>C49</f>
        <v>4850</v>
      </c>
      <c r="D48" s="420"/>
    </row>
    <row r="49" spans="1:4">
      <c r="A49" s="500"/>
      <c r="B49" s="420"/>
      <c r="C49" s="419">
        <v>4850</v>
      </c>
      <c r="D49" s="420"/>
    </row>
    <row r="50" spans="1:4">
      <c r="A50" s="38" t="s">
        <v>28</v>
      </c>
      <c r="B50" s="420">
        <v>50000</v>
      </c>
      <c r="C50" s="420">
        <v>38729</v>
      </c>
      <c r="D50" s="420">
        <f t="shared" si="0"/>
        <v>88729</v>
      </c>
    </row>
    <row r="51" spans="1:4">
      <c r="A51" s="55"/>
      <c r="B51" s="95"/>
      <c r="C51" s="95"/>
      <c r="D51" s="95">
        <f t="shared" si="0"/>
        <v>0</v>
      </c>
    </row>
    <row r="52" spans="1:4">
      <c r="A52" s="49" t="s">
        <v>61</v>
      </c>
      <c r="B52" s="50">
        <f>B53</f>
        <v>10000</v>
      </c>
      <c r="C52" s="50"/>
      <c r="D52" s="50">
        <f t="shared" si="0"/>
        <v>10000</v>
      </c>
    </row>
    <row r="53" spans="1:4" ht="13.5" customHeight="1">
      <c r="A53" s="53" t="s">
        <v>101</v>
      </c>
      <c r="B53" s="54">
        <f>B54</f>
        <v>10000</v>
      </c>
      <c r="C53" s="54"/>
      <c r="D53" s="54">
        <f t="shared" si="0"/>
        <v>10000</v>
      </c>
    </row>
    <row r="54" spans="1:4">
      <c r="A54" s="43" t="s">
        <v>92</v>
      </c>
      <c r="B54" s="52">
        <v>10000</v>
      </c>
      <c r="C54" s="52"/>
      <c r="D54" s="52">
        <f t="shared" si="0"/>
        <v>10000</v>
      </c>
    </row>
    <row r="55" spans="1:4" s="95" customFormat="1">
      <c r="A55" s="53"/>
      <c r="D55" s="95">
        <f t="shared" si="0"/>
        <v>0</v>
      </c>
    </row>
    <row r="56" spans="1:4" s="95" customFormat="1">
      <c r="A56" s="35" t="s">
        <v>939</v>
      </c>
      <c r="B56" s="6">
        <f>B57+B61+B62</f>
        <v>2000684</v>
      </c>
      <c r="C56" s="6">
        <f>C57+C61+C62</f>
        <v>5055</v>
      </c>
      <c r="D56" s="6">
        <f t="shared" si="0"/>
        <v>2005739</v>
      </c>
    </row>
    <row r="57" spans="1:4" s="95" customFormat="1">
      <c r="A57" s="109" t="s">
        <v>115</v>
      </c>
      <c r="B57" s="51">
        <f>B58+B59</f>
        <v>2824616</v>
      </c>
      <c r="C57" s="51">
        <f>SUM(C58:C60)</f>
        <v>5055</v>
      </c>
      <c r="D57" s="51">
        <f t="shared" si="0"/>
        <v>2829671</v>
      </c>
    </row>
    <row r="58" spans="1:4" s="95" customFormat="1">
      <c r="A58" s="500" t="s">
        <v>112</v>
      </c>
      <c r="B58" s="502">
        <v>2810616</v>
      </c>
      <c r="C58" s="52"/>
      <c r="D58" s="502">
        <f t="shared" si="0"/>
        <v>2810616</v>
      </c>
    </row>
    <row r="59" spans="1:4" s="95" customFormat="1">
      <c r="A59" s="500" t="s">
        <v>149</v>
      </c>
      <c r="B59" s="502">
        <v>14000</v>
      </c>
      <c r="C59" s="502">
        <v>5000</v>
      </c>
      <c r="D59" s="502">
        <f t="shared" si="0"/>
        <v>19000</v>
      </c>
    </row>
    <row r="60" spans="1:4" s="95" customFormat="1">
      <c r="A60" s="43" t="s">
        <v>892</v>
      </c>
      <c r="B60" s="52"/>
      <c r="C60" s="502">
        <v>55</v>
      </c>
      <c r="D60" s="52">
        <f t="shared" si="0"/>
        <v>55</v>
      </c>
    </row>
    <row r="61" spans="1:4" s="95" customFormat="1">
      <c r="A61" s="109" t="s">
        <v>29</v>
      </c>
      <c r="B61" s="51">
        <v>-813932</v>
      </c>
      <c r="C61" s="51"/>
      <c r="D61" s="51">
        <f t="shared" si="0"/>
        <v>-813932</v>
      </c>
    </row>
    <row r="62" spans="1:4" s="95" customFormat="1" ht="15" customHeight="1">
      <c r="A62" s="109" t="s">
        <v>64</v>
      </c>
      <c r="B62" s="51">
        <v>-10000</v>
      </c>
      <c r="C62" s="51"/>
      <c r="D62" s="51">
        <f t="shared" si="0"/>
        <v>-10000</v>
      </c>
    </row>
    <row r="63" spans="1:4" s="95" customFormat="1">
      <c r="A63" s="109"/>
      <c r="B63" s="51"/>
      <c r="C63" s="51"/>
      <c r="D63" s="51">
        <f t="shared" si="0"/>
        <v>0</v>
      </c>
    </row>
    <row r="64" spans="1:4">
      <c r="A64" s="49" t="s">
        <v>65</v>
      </c>
      <c r="B64" s="50">
        <f>B65+B67</f>
        <v>467000</v>
      </c>
      <c r="C64" s="50">
        <f t="shared" ref="C64" si="1">C65+C67</f>
        <v>3305</v>
      </c>
      <c r="D64" s="50">
        <f t="shared" si="0"/>
        <v>470305</v>
      </c>
    </row>
    <row r="65" spans="1:4">
      <c r="A65" s="53" t="s">
        <v>142</v>
      </c>
      <c r="B65" s="54">
        <f>B66</f>
        <v>400000</v>
      </c>
      <c r="C65" s="54"/>
      <c r="D65" s="54">
        <f t="shared" si="0"/>
        <v>400000</v>
      </c>
    </row>
    <row r="66" spans="1:4">
      <c r="A66" s="43" t="s">
        <v>92</v>
      </c>
      <c r="B66" s="52">
        <v>400000</v>
      </c>
      <c r="C66" s="52"/>
      <c r="D66" s="52">
        <f t="shared" si="0"/>
        <v>400000</v>
      </c>
    </row>
    <row r="67" spans="1:4" ht="12.75" customHeight="1">
      <c r="A67" s="53" t="s">
        <v>116</v>
      </c>
      <c r="B67" s="54">
        <v>67000</v>
      </c>
      <c r="C67" s="54">
        <v>3305</v>
      </c>
      <c r="D67" s="54">
        <f t="shared" si="0"/>
        <v>70305</v>
      </c>
    </row>
    <row r="68" spans="1:4">
      <c r="A68" s="53"/>
      <c r="B68" s="95"/>
      <c r="C68" s="95"/>
      <c r="D68" s="95">
        <f t="shared" si="0"/>
        <v>0</v>
      </c>
    </row>
    <row r="69" spans="1:4">
      <c r="A69" s="49" t="s">
        <v>66</v>
      </c>
      <c r="B69" s="50">
        <f>B70</f>
        <v>7260000</v>
      </c>
      <c r="C69" s="50"/>
      <c r="D69" s="50">
        <f t="shared" si="0"/>
        <v>7260000</v>
      </c>
    </row>
    <row r="70" spans="1:4">
      <c r="A70" s="500" t="s">
        <v>107</v>
      </c>
      <c r="B70" s="502">
        <v>7260000</v>
      </c>
      <c r="C70" s="52"/>
      <c r="D70" s="502">
        <f t="shared" si="0"/>
        <v>7260000</v>
      </c>
    </row>
    <row r="71" spans="1:4" ht="12.75" customHeight="1">
      <c r="A71" s="55"/>
      <c r="B71" s="95"/>
      <c r="C71" s="95"/>
      <c r="D71" s="95">
        <f t="shared" si="0"/>
        <v>0</v>
      </c>
    </row>
    <row r="72" spans="1:4" ht="12.75" customHeight="1">
      <c r="A72" s="49" t="s">
        <v>51</v>
      </c>
      <c r="B72" s="6">
        <f>B5+B12+B24+B30+B37+B52+B56+B64+B69</f>
        <v>449227824</v>
      </c>
      <c r="C72" s="6">
        <f>C5+C12+C24+C30+C37+C52+C56+C64+C69</f>
        <v>8365999</v>
      </c>
      <c r="D72" s="6">
        <f t="shared" ref="D72:D74" si="2">B72+C72</f>
        <v>457593823</v>
      </c>
    </row>
    <row r="73" spans="1:4">
      <c r="B73" s="105"/>
      <c r="C73" s="105"/>
      <c r="D73" s="105">
        <f t="shared" si="2"/>
        <v>0</v>
      </c>
    </row>
    <row r="74" spans="1:4">
      <c r="B74" s="105"/>
      <c r="C74" s="105"/>
      <c r="D74" s="105">
        <f t="shared" si="2"/>
        <v>0</v>
      </c>
    </row>
    <row r="75" spans="1:4">
      <c r="A75" s="3"/>
      <c r="B75" s="105"/>
      <c r="C75" s="105"/>
      <c r="D75" s="105"/>
    </row>
    <row r="76" spans="1:4">
      <c r="A76" s="3"/>
    </row>
    <row r="77" spans="1:4">
      <c r="A77" s="3"/>
      <c r="B77" s="105"/>
      <c r="C77" s="105"/>
      <c r="D77" s="105"/>
    </row>
    <row r="78" spans="1:4">
      <c r="A78" s="3"/>
    </row>
    <row r="79" spans="1:4">
      <c r="A79" s="3"/>
      <c r="B79" s="105"/>
      <c r="C79" s="105"/>
      <c r="D79" s="105"/>
    </row>
    <row r="80" spans="1:4">
      <c r="A80" s="3"/>
      <c r="B80" s="105"/>
      <c r="C80" s="105"/>
      <c r="D80" s="105"/>
    </row>
    <row r="81" spans="1:4">
      <c r="A81" s="3"/>
    </row>
    <row r="82" spans="1:4">
      <c r="A82" s="3"/>
    </row>
    <row r="83" spans="1:4">
      <c r="A83" s="5"/>
      <c r="B83" s="105"/>
      <c r="C83" s="105"/>
      <c r="D83" s="105"/>
    </row>
    <row r="84" spans="1:4">
      <c r="A84" s="3"/>
      <c r="B84" s="105"/>
      <c r="C84" s="105"/>
      <c r="D84" s="105"/>
    </row>
    <row r="85" spans="1:4">
      <c r="A85" s="5"/>
      <c r="B85" s="105"/>
      <c r="C85" s="105"/>
      <c r="D85" s="105"/>
    </row>
    <row r="86" spans="1:4">
      <c r="A86" s="5"/>
    </row>
    <row r="87" spans="1:4">
      <c r="A87" s="3"/>
    </row>
    <row r="88" spans="1:4">
      <c r="A88" s="3"/>
      <c r="B88" s="105"/>
      <c r="C88" s="105"/>
      <c r="D88" s="105"/>
    </row>
    <row r="89" spans="1:4">
      <c r="A89" s="3"/>
      <c r="B89" s="105"/>
      <c r="C89" s="105"/>
      <c r="D89" s="105"/>
    </row>
    <row r="90" spans="1:4">
      <c r="A90" s="3"/>
    </row>
    <row r="91" spans="1:4">
      <c r="A91" s="3"/>
    </row>
    <row r="92" spans="1:4">
      <c r="A92" s="3"/>
    </row>
    <row r="93" spans="1:4">
      <c r="A93" s="3"/>
    </row>
    <row r="94" spans="1:4">
      <c r="A94" s="3"/>
    </row>
    <row r="95" spans="1:4">
      <c r="A95" s="3"/>
    </row>
    <row r="96" spans="1:4">
      <c r="A96" s="3"/>
    </row>
    <row r="97" spans="1:4">
      <c r="A97" s="3"/>
    </row>
    <row r="98" spans="1:4">
      <c r="A98" s="488"/>
      <c r="B98" s="497"/>
      <c r="C98" s="497"/>
      <c r="D98" s="497"/>
    </row>
    <row r="99" spans="1:4">
      <c r="A99" s="3"/>
      <c r="B99" s="105"/>
      <c r="C99" s="105"/>
      <c r="D99" s="105"/>
    </row>
    <row r="100" spans="1:4">
      <c r="A100" s="488"/>
      <c r="B100" s="497"/>
      <c r="C100" s="497"/>
      <c r="D100" s="497"/>
    </row>
    <row r="101" spans="1:4">
      <c r="B101" s="105"/>
      <c r="C101" s="105"/>
      <c r="D101" s="105"/>
    </row>
    <row r="103" spans="1:4">
      <c r="A103" s="553"/>
    </row>
    <row r="105" spans="1:4">
      <c r="A105" s="553"/>
    </row>
    <row r="106" spans="1:4">
      <c r="A106" s="553"/>
    </row>
  </sheetData>
  <autoFilter ref="A4:D74"/>
  <mergeCells count="1">
    <mergeCell ref="B3:D3"/>
  </mergeCells>
  <phoneticPr fontId="36" type="noConversion"/>
  <printOptions gridLines="1"/>
  <pageMargins left="0.7874015748031496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3"/>
  <sheetViews>
    <sheetView workbookViewId="0"/>
  </sheetViews>
  <sheetFormatPr defaultColWidth="9.140625" defaultRowHeight="12.75"/>
  <cols>
    <col min="1" max="1" width="40" style="30" bestFit="1" customWidth="1"/>
    <col min="2" max="2" width="11.7109375" style="30" bestFit="1" customWidth="1"/>
    <col min="3" max="5" width="11.7109375" style="30" customWidth="1"/>
    <col min="6" max="6" width="10.140625" style="30" bestFit="1" customWidth="1"/>
    <col min="7" max="16384" width="9.140625" style="30"/>
  </cols>
  <sheetData>
    <row r="1" spans="1:13" ht="12.75" customHeight="1">
      <c r="B1" s="597" t="s">
        <v>890</v>
      </c>
      <c r="C1" s="597" t="s">
        <v>908</v>
      </c>
      <c r="D1" s="597" t="s">
        <v>944</v>
      </c>
      <c r="E1" s="597" t="s">
        <v>909</v>
      </c>
      <c r="F1" s="598" t="s">
        <v>945</v>
      </c>
    </row>
    <row r="2" spans="1:13" ht="12.75" customHeight="1">
      <c r="B2" s="597"/>
      <c r="C2" s="597"/>
      <c r="D2" s="597"/>
      <c r="E2" s="597"/>
      <c r="F2" s="599"/>
    </row>
    <row r="3" spans="1:13">
      <c r="A3" s="5" t="s">
        <v>49</v>
      </c>
      <c r="B3" s="10">
        <v>63892294.770000003</v>
      </c>
      <c r="C3" s="10">
        <f t="shared" ref="C3:E3" ca="1" si="0">SUM(C4:C13)</f>
        <v>60583462</v>
      </c>
      <c r="D3" s="10">
        <f t="shared" ca="1" si="0"/>
        <v>2874568</v>
      </c>
      <c r="E3" s="10">
        <f t="shared" ca="1" si="0"/>
        <v>63458030</v>
      </c>
      <c r="F3" s="10" t="e">
        <f t="shared" ref="F3:G3" si="1">SUM(F4:F13)</f>
        <v>#REF!</v>
      </c>
      <c r="G3" s="10" t="e">
        <f t="shared" si="1"/>
        <v>#REF!</v>
      </c>
      <c r="H3" s="10"/>
      <c r="I3" s="10"/>
      <c r="J3" s="10"/>
      <c r="K3" s="10"/>
      <c r="L3" s="10"/>
      <c r="M3" s="10"/>
    </row>
    <row r="4" spans="1:13">
      <c r="A4" s="7" t="s">
        <v>129</v>
      </c>
      <c r="B4" s="10">
        <v>28592760.600000005</v>
      </c>
      <c r="C4" s="10">
        <f ca="1">SUMIF('2.2 OMATULUD'!$A$5:B$803,$A4,'2.2 OMATULUD'!B$5:B$803)</f>
        <v>26632705</v>
      </c>
      <c r="D4" s="10">
        <f ca="1">SUMIF('2.2 OMATULUD'!$A$5:C$803,$A4,'2.2 OMATULUD'!C$5:C$803)</f>
        <v>953010</v>
      </c>
      <c r="E4" s="10">
        <f ca="1">SUMIF('2.2 OMATULUD'!$A$5:D$803,$A4,'2.2 OMATULUD'!D$5:D$803)</f>
        <v>27585715</v>
      </c>
      <c r="F4" s="10" t="e">
        <f>SUMIF('2.2 OMATULUD'!$A$5:D$803,$A4,'2.2 OMATULUD'!#REF!)</f>
        <v>#REF!</v>
      </c>
      <c r="G4" s="10" t="e">
        <f>SUMIF('2.2 OMATULUD'!$A$5:D$803,$A4,'2.2 OMATULUD'!#REF!)</f>
        <v>#REF!</v>
      </c>
      <c r="H4" s="10"/>
      <c r="I4" s="10"/>
      <c r="J4" s="10"/>
      <c r="K4" s="10"/>
      <c r="L4" s="10"/>
      <c r="M4" s="10"/>
    </row>
    <row r="5" spans="1:13">
      <c r="A5" s="7" t="s">
        <v>134</v>
      </c>
      <c r="B5" s="10">
        <v>3724902.4500000011</v>
      </c>
      <c r="C5" s="10">
        <f ca="1">SUMIF('2.2 OMATULUD'!$A$5:B$803,$A5,'2.2 OMATULUD'!B$5:B$803)</f>
        <v>4110659</v>
      </c>
      <c r="D5" s="10">
        <f ca="1">SUMIF('2.2 OMATULUD'!$A$5:C$803,$A5,'2.2 OMATULUD'!C$5:C$803)</f>
        <v>-605</v>
      </c>
      <c r="E5" s="10">
        <f ca="1">SUMIF('2.2 OMATULUD'!$A$5:D$803,$A5,'2.2 OMATULUD'!D$5:D$803)</f>
        <v>4110054</v>
      </c>
      <c r="F5" s="10" t="e">
        <f>SUMIF('2.2 OMATULUD'!$A$5:D$803,$A5,'2.2 OMATULUD'!#REF!)</f>
        <v>#REF!</v>
      </c>
      <c r="G5" s="10" t="e">
        <f>SUMIF('2.2 OMATULUD'!$A$5:D$803,$A5,'2.2 OMATULUD'!#REF!)</f>
        <v>#REF!</v>
      </c>
      <c r="H5" s="10"/>
      <c r="I5" s="10"/>
      <c r="J5" s="10"/>
      <c r="K5" s="10"/>
      <c r="L5" s="10"/>
      <c r="M5" s="10"/>
    </row>
    <row r="6" spans="1:13">
      <c r="A6" s="7" t="s">
        <v>130</v>
      </c>
      <c r="B6" s="10">
        <v>4980118.51</v>
      </c>
      <c r="C6" s="10">
        <f ca="1">SUMIF('2.2 OMATULUD'!$A$5:B$803,$A6,'2.2 OMATULUD'!B$5:B$803)</f>
        <v>4753000</v>
      </c>
      <c r="D6" s="10">
        <f ca="1">SUMIF('2.2 OMATULUD'!$A$5:C$803,$A6,'2.2 OMATULUD'!C$5:C$803)</f>
        <v>352245</v>
      </c>
      <c r="E6" s="10">
        <f ca="1">SUMIF('2.2 OMATULUD'!$A$5:D$803,$A6,'2.2 OMATULUD'!D$5:D$803)</f>
        <v>5105245</v>
      </c>
      <c r="F6" s="10" t="e">
        <f>SUMIF('2.2 OMATULUD'!$A$5:D$803,$A6,'2.2 OMATULUD'!#REF!)</f>
        <v>#REF!</v>
      </c>
      <c r="G6" s="10" t="e">
        <f>SUMIF('2.2 OMATULUD'!$A$5:D$803,$A6,'2.2 OMATULUD'!#REF!)</f>
        <v>#REF!</v>
      </c>
      <c r="H6" s="10"/>
      <c r="I6" s="10"/>
      <c r="J6" s="10"/>
      <c r="K6" s="10"/>
      <c r="L6" s="10"/>
      <c r="M6" s="10"/>
    </row>
    <row r="7" spans="1:13">
      <c r="A7" s="7" t="s">
        <v>139</v>
      </c>
      <c r="B7" s="10">
        <v>4648288.17</v>
      </c>
      <c r="C7" s="10">
        <f ca="1">SUMIF('2.2 OMATULUD'!$A$5:B$803,$A7,'2.2 OMATULUD'!B$5:B$803)</f>
        <v>5671845</v>
      </c>
      <c r="D7" s="10">
        <f ca="1">SUMIF('2.2 OMATULUD'!$A$5:C$803,$A7,'2.2 OMATULUD'!C$5:C$803)</f>
        <v>17580</v>
      </c>
      <c r="E7" s="10">
        <f ca="1">SUMIF('2.2 OMATULUD'!$A$5:D$803,$A7,'2.2 OMATULUD'!D$5:D$803)</f>
        <v>5689425</v>
      </c>
      <c r="F7" s="10" t="e">
        <f>SUMIF('2.2 OMATULUD'!$A$5:D$803,$A7,'2.2 OMATULUD'!#REF!)</f>
        <v>#REF!</v>
      </c>
      <c r="G7" s="10" t="e">
        <f>SUMIF('2.2 OMATULUD'!$A$5:D$803,$A7,'2.2 OMATULUD'!#REF!)</f>
        <v>#REF!</v>
      </c>
      <c r="H7" s="10"/>
      <c r="I7" s="10"/>
      <c r="J7" s="10"/>
      <c r="K7" s="10"/>
      <c r="L7" s="10"/>
      <c r="M7" s="10"/>
    </row>
    <row r="8" spans="1:13">
      <c r="A8" s="7" t="s">
        <v>135</v>
      </c>
      <c r="B8" s="10">
        <v>6136.28</v>
      </c>
      <c r="C8" s="10">
        <f ca="1">SUMIF('2.2 OMATULUD'!$A$5:B$803,$A8,'2.2 OMATULUD'!B$5:B$803)</f>
        <v>0</v>
      </c>
      <c r="D8" s="10">
        <f ca="1">SUMIF('2.2 OMATULUD'!$A$5:C$803,$A8,'2.2 OMATULUD'!C$5:C$803)</f>
        <v>1029</v>
      </c>
      <c r="E8" s="10">
        <f ca="1">SUMIF('2.2 OMATULUD'!$A$5:D$803,$A8,'2.2 OMATULUD'!D$5:D$803)</f>
        <v>1029</v>
      </c>
      <c r="F8" s="10" t="e">
        <f>SUMIF('2.2 OMATULUD'!$A$5:D$803,$A8,'2.2 OMATULUD'!#REF!)</f>
        <v>#REF!</v>
      </c>
      <c r="G8" s="10" t="e">
        <f>SUMIF('2.2 OMATULUD'!$A$5:D$803,$A8,'2.2 OMATULUD'!#REF!)</f>
        <v>#REF!</v>
      </c>
      <c r="H8" s="10"/>
      <c r="I8" s="10"/>
      <c r="J8" s="10"/>
      <c r="K8" s="10"/>
      <c r="L8" s="10"/>
      <c r="M8" s="10"/>
    </row>
    <row r="9" spans="1:13">
      <c r="A9" s="7" t="s">
        <v>136</v>
      </c>
      <c r="B9" s="10">
        <v>7585732</v>
      </c>
      <c r="C9" s="10">
        <f ca="1">SUMIF('2.2 OMATULUD'!$A$5:B$803,$A9,'2.2 OMATULUD'!B$5:B$803)</f>
        <v>4302824</v>
      </c>
      <c r="D9" s="10">
        <f ca="1">SUMIF('2.2 OMATULUD'!$A$5:C$803,$A9,'2.2 OMATULUD'!C$5:C$803)</f>
        <v>416706</v>
      </c>
      <c r="E9" s="10">
        <f ca="1">SUMIF('2.2 OMATULUD'!$A$5:D$803,$A9,'2.2 OMATULUD'!D$5:D$803)</f>
        <v>4719530</v>
      </c>
      <c r="F9" s="10" t="e">
        <f>SUMIF('2.2 OMATULUD'!$A$5:D$803,$A9,'2.2 OMATULUD'!#REF!)</f>
        <v>#REF!</v>
      </c>
      <c r="G9" s="10" t="e">
        <f>SUMIF('2.2 OMATULUD'!$A$5:D$803,$A9,'2.2 OMATULUD'!#REF!)</f>
        <v>#REF!</v>
      </c>
      <c r="H9" s="10"/>
      <c r="I9" s="10"/>
      <c r="J9" s="10"/>
      <c r="K9" s="10"/>
      <c r="L9" s="10"/>
      <c r="M9" s="10"/>
    </row>
    <row r="10" spans="1:13">
      <c r="A10" s="7" t="s">
        <v>131</v>
      </c>
      <c r="B10" s="10">
        <v>3923475.17</v>
      </c>
      <c r="C10" s="10">
        <f ca="1">SUMIF('2.2 OMATULUD'!$A$5:B$803,$A10,'2.2 OMATULUD'!B$5:B$803)</f>
        <v>4366899</v>
      </c>
      <c r="D10" s="10">
        <f ca="1">SUMIF('2.2 OMATULUD'!$A$5:C$803,$A10,'2.2 OMATULUD'!C$5:C$803)</f>
        <v>473180</v>
      </c>
      <c r="E10" s="10">
        <f ca="1">SUMIF('2.2 OMATULUD'!$A$5:D$803,$A10,'2.2 OMATULUD'!D$5:D$803)</f>
        <v>4840079</v>
      </c>
      <c r="F10" s="10" t="e">
        <f>SUMIF('2.2 OMATULUD'!$A$5:D$803,$A10,'2.2 OMATULUD'!#REF!)</f>
        <v>#REF!</v>
      </c>
      <c r="G10" s="10" t="e">
        <f>SUMIF('2.2 OMATULUD'!$A$5:D$803,$A10,'2.2 OMATULUD'!#REF!)</f>
        <v>#REF!</v>
      </c>
      <c r="H10" s="10"/>
      <c r="I10" s="10"/>
      <c r="J10" s="10"/>
      <c r="K10" s="10"/>
      <c r="L10" s="10"/>
      <c r="M10" s="10"/>
    </row>
    <row r="11" spans="1:13">
      <c r="A11" s="7" t="s">
        <v>137</v>
      </c>
      <c r="B11" s="10">
        <v>9095523.5800000001</v>
      </c>
      <c r="C11" s="10">
        <f ca="1">SUMIF('2.2 OMATULUD'!$A$5:B$803,$A11,'2.2 OMATULUD'!B$5:B$803)</f>
        <v>9194359</v>
      </c>
      <c r="D11" s="10">
        <f ca="1">SUMIF('2.2 OMATULUD'!$A$5:C$803,$A11,'2.2 OMATULUD'!C$5:C$803)</f>
        <v>670423</v>
      </c>
      <c r="E11" s="10">
        <f ca="1">SUMIF('2.2 OMATULUD'!$A$5:D$803,$A11,'2.2 OMATULUD'!D$5:D$803)</f>
        <v>9864782</v>
      </c>
      <c r="F11" s="10" t="e">
        <f>SUMIF('2.2 OMATULUD'!$A$5:D$803,$A11,'2.2 OMATULUD'!#REF!)</f>
        <v>#REF!</v>
      </c>
      <c r="G11" s="10" t="e">
        <f>SUMIF('2.2 OMATULUD'!$A$5:D$803,$A11,'2.2 OMATULUD'!#REF!)</f>
        <v>#REF!</v>
      </c>
      <c r="H11" s="10"/>
      <c r="I11" s="10"/>
      <c r="J11" s="10"/>
      <c r="K11" s="10"/>
      <c r="L11" s="10"/>
      <c r="M11" s="10"/>
    </row>
    <row r="12" spans="1:13">
      <c r="A12" s="7" t="s">
        <v>128</v>
      </c>
      <c r="B12" s="10">
        <v>174948.82</v>
      </c>
      <c r="C12" s="10">
        <f ca="1">SUMIF('2.2 OMATULUD'!$A$5:B$803,$A12,'2.2 OMATULUD'!B$5:B$803)</f>
        <v>248871</v>
      </c>
      <c r="D12" s="10">
        <f ca="1">SUMIF('2.2 OMATULUD'!$A$5:C$803,$A12,'2.2 OMATULUD'!C$5:C$803)</f>
        <v>-9000</v>
      </c>
      <c r="E12" s="10">
        <f ca="1">SUMIF('2.2 OMATULUD'!$A$5:D$803,$A12,'2.2 OMATULUD'!D$5:D$803)</f>
        <v>239871</v>
      </c>
      <c r="F12" s="10" t="e">
        <f>SUMIF('2.2 OMATULUD'!$A$5:D$803,$A12,'2.2 OMATULUD'!#REF!)</f>
        <v>#REF!</v>
      </c>
      <c r="G12" s="10" t="e">
        <f>SUMIF('2.2 OMATULUD'!$A$5:D$803,$A12,'2.2 OMATULUD'!#REF!)</f>
        <v>#REF!</v>
      </c>
      <c r="H12" s="10"/>
      <c r="I12" s="10"/>
      <c r="J12" s="10"/>
      <c r="K12" s="10"/>
      <c r="L12" s="10"/>
      <c r="M12" s="10"/>
    </row>
    <row r="13" spans="1:13">
      <c r="A13" s="8" t="s">
        <v>138</v>
      </c>
      <c r="B13" s="10">
        <v>1160409.19</v>
      </c>
      <c r="C13" s="10">
        <f ca="1">SUMIF('2.2 OMATULUD'!$A$5:B$803,$A13,'2.2 OMATULUD'!B$5:B$803)</f>
        <v>1302300</v>
      </c>
      <c r="D13" s="10">
        <f ca="1">SUMIF('2.2 OMATULUD'!$A$5:C$803,$A13,'2.2 OMATULUD'!C$5:C$803)</f>
        <v>0</v>
      </c>
      <c r="E13" s="10">
        <f ca="1">SUMIF('2.2 OMATULUD'!$A$5:D$803,$A13,'2.2 OMATULUD'!D$5:D$803)</f>
        <v>1302300</v>
      </c>
      <c r="F13" s="10" t="e">
        <f>SUMIF('2.2 OMATULUD'!$A$5:D$803,$A13,'2.2 OMATULUD'!#REF!)</f>
        <v>#REF!</v>
      </c>
      <c r="G13" s="10" t="e">
        <f>SUMIF('2.2 OMATULUD'!$A$5:D$803,$A13,'2.2 OMATULUD'!#REF!)</f>
        <v>#REF!</v>
      </c>
      <c r="H13" s="10"/>
      <c r="I13" s="10"/>
      <c r="J13" s="10"/>
      <c r="K13" s="10"/>
      <c r="L13" s="10"/>
      <c r="M13" s="10"/>
    </row>
    <row r="14" spans="1:13">
      <c r="A14" s="5" t="s">
        <v>132</v>
      </c>
      <c r="B14" s="10">
        <v>187738.75999999998</v>
      </c>
      <c r="C14" s="10">
        <f ca="1">SUMIF('2.2 OMATULUD'!$A$5:B$803,$A14,'2.2 OMATULUD'!B$5:B$803)</f>
        <v>150000</v>
      </c>
      <c r="D14" s="10">
        <f ca="1">SUMIF('2.2 OMATULUD'!$A$5:C$803,$A14,'2.2 OMATULUD'!C$5:C$803)</f>
        <v>89900</v>
      </c>
      <c r="E14" s="10">
        <f ca="1">SUMIF('2.2 OMATULUD'!$A$5:D$803,$A14,'2.2 OMATULUD'!D$5:D$803)</f>
        <v>239900</v>
      </c>
      <c r="F14" s="10" t="e">
        <f>SUMIF('2.2 OMATULUD'!$A$5:D$803,$A14,'2.2 OMATULUD'!#REF!)</f>
        <v>#REF!</v>
      </c>
      <c r="G14" s="10" t="e">
        <f>SUMIF('2.2 OMATULUD'!$A$5:D$803,$A14,'2.2 OMATULUD'!#REF!)</f>
        <v>#REF!</v>
      </c>
      <c r="H14" s="10"/>
      <c r="I14" s="10"/>
      <c r="J14" s="10"/>
      <c r="K14" s="10"/>
      <c r="L14" s="10"/>
      <c r="M14" s="10"/>
    </row>
    <row r="15" spans="1:13">
      <c r="A15" s="5" t="s">
        <v>127</v>
      </c>
      <c r="B15" s="10">
        <v>3911473.12</v>
      </c>
      <c r="C15" s="10">
        <f ca="1">SUMIF('2.2 OMATULUD'!$A$5:B$803,$A15,'2.2 OMATULUD'!B$5:B$803)</f>
        <v>3681175</v>
      </c>
      <c r="D15" s="10">
        <f ca="1">SUMIF('2.2 OMATULUD'!$A$5:C$803,$A15,'2.2 OMATULUD'!C$5:C$803)</f>
        <v>320523</v>
      </c>
      <c r="E15" s="10">
        <f ca="1">SUMIF('2.2 OMATULUD'!$A$5:D$803,$A15,'2.2 OMATULUD'!D$5:D$803)</f>
        <v>4001698</v>
      </c>
      <c r="F15" s="10" t="e">
        <f>SUMIF('2.2 OMATULUD'!$A$5:D$803,$A15,'2.2 OMATULUD'!#REF!)</f>
        <v>#REF!</v>
      </c>
      <c r="G15" s="10" t="e">
        <f>SUMIF('2.2 OMATULUD'!$A$5:D$803,$A15,'2.2 OMATULUD'!#REF!)</f>
        <v>#REF!</v>
      </c>
      <c r="H15" s="10"/>
      <c r="I15" s="10"/>
      <c r="J15" s="10"/>
      <c r="K15" s="10"/>
      <c r="L15" s="10"/>
      <c r="M15" s="10"/>
    </row>
    <row r="16" spans="1:13">
      <c r="A16" s="5" t="s">
        <v>133</v>
      </c>
      <c r="B16" s="10">
        <v>2385085.9600000004</v>
      </c>
      <c r="C16" s="10">
        <f ca="1">SUMIF('2.2 OMATULUD'!$A$5:B$803,$A16,'2.2 OMATULUD'!B$5:B$803)</f>
        <v>2360441</v>
      </c>
      <c r="D16" s="10">
        <f ca="1">SUMIF('2.2 OMATULUD'!$A$5:C$803,$A16,'2.2 OMATULUD'!C$5:C$803)</f>
        <v>158450</v>
      </c>
      <c r="E16" s="10">
        <f ca="1">SUMIF('2.2 OMATULUD'!$A$5:D$803,$A16,'2.2 OMATULUD'!D$5:D$803)</f>
        <v>2518891</v>
      </c>
      <c r="F16" s="10" t="e">
        <f>SUMIF('2.2 OMATULUD'!$A$5:D$803,$A16,'2.2 OMATULUD'!#REF!)</f>
        <v>#REF!</v>
      </c>
      <c r="G16" s="10" t="e">
        <f>SUMIF('2.2 OMATULUD'!$A$5:D$803,$A16,'2.2 OMATULUD'!#REF!)</f>
        <v>#REF!</v>
      </c>
      <c r="H16" s="10"/>
      <c r="I16" s="10"/>
      <c r="J16" s="10"/>
      <c r="K16" s="10"/>
      <c r="L16" s="10"/>
      <c r="M16" s="10"/>
    </row>
    <row r="17" spans="1:13">
      <c r="A17" s="5" t="s">
        <v>126</v>
      </c>
      <c r="B17" s="10">
        <v>8438000.8300000019</v>
      </c>
      <c r="C17" s="10">
        <f ca="1">SUMIF('2.2 OMATULUD'!$A$5:B$803,$A17,'2.2 OMATULUD'!B$5:B$803)</f>
        <v>8779891</v>
      </c>
      <c r="D17" s="10">
        <f ca="1">SUMIF('2.2 OMATULUD'!$A$5:C$803,$A17,'2.2 OMATULUD'!C$5:C$803)</f>
        <v>522445</v>
      </c>
      <c r="E17" s="10">
        <f ca="1">SUMIF('2.2 OMATULUD'!$A$5:D$803,$A17,'2.2 OMATULUD'!D$5:D$803)</f>
        <v>9302336</v>
      </c>
      <c r="F17" s="10" t="e">
        <f>SUMIF('2.2 OMATULUD'!$A$5:D$803,$A17,'2.2 OMATULUD'!#REF!)</f>
        <v>#REF!</v>
      </c>
      <c r="G17" s="10" t="e">
        <f>SUMIF('2.2 OMATULUD'!$A$5:D$803,$A17,'2.2 OMATULUD'!#REF!)</f>
        <v>#REF!</v>
      </c>
      <c r="H17" s="10"/>
      <c r="I17" s="10"/>
      <c r="J17" s="10"/>
      <c r="K17" s="10"/>
      <c r="L17" s="10"/>
      <c r="M17" s="10"/>
    </row>
    <row r="18" spans="1:13">
      <c r="A18" s="127" t="s">
        <v>50</v>
      </c>
      <c r="B18" s="10">
        <v>0</v>
      </c>
      <c r="C18" s="10">
        <f ca="1">SUMIF('2.2 OMATULUD'!$A$5:B$803,$A18,'2.2 OMATULUD'!B$5:B$803)</f>
        <v>0</v>
      </c>
      <c r="D18" s="10">
        <f ca="1">SUMIF('2.2 OMATULUD'!$A$5:C$803,$A18,'2.2 OMATULUD'!C$5:C$803)</f>
        <v>0</v>
      </c>
      <c r="E18" s="10">
        <f ca="1">SUMIF('2.2 OMATULUD'!$A$5:D$803,$A18,'2.2 OMATULUD'!D$5:D$803)</f>
        <v>0</v>
      </c>
      <c r="F18" s="10" t="e">
        <f>SUMIF('2.2 OMATULUD'!$A$5:D$803,$A18,'2.2 OMATULUD'!#REF!)</f>
        <v>#REF!</v>
      </c>
      <c r="G18" s="10" t="e">
        <f>SUMIF('2.2 OMATULUD'!$A$5:D$803,$A18,'2.2 OMATULUD'!#REF!)</f>
        <v>#REF!</v>
      </c>
      <c r="H18" s="10"/>
      <c r="I18" s="10"/>
      <c r="J18" s="10"/>
      <c r="K18" s="10"/>
      <c r="L18" s="10"/>
      <c r="M18" s="10"/>
    </row>
    <row r="19" spans="1:13">
      <c r="A19" s="111" t="s">
        <v>146</v>
      </c>
      <c r="B19" s="10">
        <v>-39789.910000000003</v>
      </c>
      <c r="C19" s="10">
        <f ca="1">SUMIF('2.2 OMATULUD'!$A$5:B$803,$A19,'2.2 OMATULUD'!B$5:B$803)</f>
        <v>-100000</v>
      </c>
      <c r="D19" s="10">
        <f ca="1">SUMIF('2.2 OMATULUD'!$A$5:C$803,$A19,'2.2 OMATULUD'!C$5:C$803)</f>
        <v>0</v>
      </c>
      <c r="E19" s="10">
        <f ca="1">SUMIF('2.2 OMATULUD'!$A$5:D$803,$A19,'2.2 OMATULUD'!D$5:D$803)</f>
        <v>-100000</v>
      </c>
      <c r="F19" s="10" t="e">
        <f>SUMIF('2.2 OMATULUD'!$A$5:D$803,$A19,'2.2 OMATULUD'!#REF!)</f>
        <v>#REF!</v>
      </c>
      <c r="G19" s="10" t="e">
        <f>SUMIF('2.2 OMATULUD'!$A$5:D$803,$A19,'2.2 OMATULUD'!#REF!)</f>
        <v>#REF!</v>
      </c>
      <c r="H19" s="10"/>
      <c r="I19" s="10"/>
      <c r="J19" s="10"/>
      <c r="K19" s="10"/>
      <c r="L19" s="10"/>
      <c r="M19" s="10"/>
    </row>
    <row r="20" spans="1:13">
      <c r="A20" s="2" t="s">
        <v>51</v>
      </c>
      <c r="B20" s="11">
        <v>78774803.530000001</v>
      </c>
      <c r="C20" s="11">
        <f t="shared" ref="C20:E20" ca="1" si="2">C14+C15+C16+C17+C3+C19</f>
        <v>75454969</v>
      </c>
      <c r="D20" s="11">
        <f t="shared" ca="1" si="2"/>
        <v>3965886</v>
      </c>
      <c r="E20" s="11">
        <f t="shared" ca="1" si="2"/>
        <v>79420855</v>
      </c>
      <c r="F20" s="11" t="e">
        <f t="shared" ref="F20:G20" si="3">F14+F15+F16+F17+F3+F19</f>
        <v>#REF!</v>
      </c>
      <c r="G20" s="11" t="e">
        <f t="shared" si="3"/>
        <v>#REF!</v>
      </c>
      <c r="H20" s="11"/>
      <c r="I20" s="11"/>
      <c r="J20" s="11"/>
      <c r="K20" s="11"/>
      <c r="L20" s="11"/>
      <c r="M20" s="11"/>
    </row>
    <row r="21" spans="1:13">
      <c r="A21" s="5"/>
      <c r="B21" s="103"/>
      <c r="C21" s="103">
        <f ca="1">C20-'2.2 OMATULUD'!B803</f>
        <v>0</v>
      </c>
      <c r="D21" s="103">
        <f ca="1">D20-'2.2 OMATULUD'!C803</f>
        <v>0</v>
      </c>
      <c r="E21" s="103">
        <f ca="1">E20-'2.2 OMATULUD'!D803</f>
        <v>0</v>
      </c>
      <c r="F21" s="103" t="e">
        <f>F20-'2.2 OMATULUD'!#REF!</f>
        <v>#REF!</v>
      </c>
      <c r="G21" s="103" t="e">
        <f>G20-'2.2 OMATULUD'!#REF!</f>
        <v>#REF!</v>
      </c>
      <c r="H21" s="103"/>
      <c r="I21" s="103"/>
      <c r="J21" s="103"/>
      <c r="K21" s="103"/>
      <c r="L21" s="103"/>
      <c r="M21" s="103"/>
    </row>
    <row r="25" spans="1:13">
      <c r="A25" s="131"/>
      <c r="B25" s="132"/>
      <c r="C25" s="132"/>
      <c r="D25" s="132"/>
      <c r="E25" s="132"/>
    </row>
    <row r="26" spans="1:13">
      <c r="A26" s="128"/>
      <c r="B26" s="4"/>
      <c r="C26" s="4"/>
      <c r="D26" s="4"/>
      <c r="E26" s="4"/>
    </row>
    <row r="27" spans="1:13">
      <c r="A27" s="110"/>
      <c r="B27" s="72"/>
      <c r="C27" s="72"/>
      <c r="D27" s="72"/>
      <c r="E27" s="72"/>
    </row>
    <row r="31" spans="1:13">
      <c r="A31" s="131"/>
      <c r="B31" s="132"/>
      <c r="C31" s="132"/>
      <c r="D31" s="132"/>
      <c r="E31" s="132"/>
    </row>
    <row r="32" spans="1:13">
      <c r="A32" s="129"/>
      <c r="B32" s="72"/>
      <c r="C32" s="72"/>
      <c r="D32" s="72"/>
      <c r="E32" s="72"/>
    </row>
    <row r="33" spans="1:5">
      <c r="A33" s="130"/>
      <c r="B33" s="72"/>
      <c r="C33" s="72"/>
      <c r="D33" s="72"/>
      <c r="E33" s="72"/>
    </row>
  </sheetData>
  <mergeCells count="5">
    <mergeCell ref="B1:B2"/>
    <mergeCell ref="C1:C2"/>
    <mergeCell ref="D1:D2"/>
    <mergeCell ref="E1:E2"/>
    <mergeCell ref="F1:F2"/>
  </mergeCells>
  <phoneticPr fontId="3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</sheetPr>
  <dimension ref="A1:D937"/>
  <sheetViews>
    <sheetView showZeros="0" zoomScaleNormal="100" workbookViewId="0">
      <pane xSplit="1" ySplit="4" topLeftCell="B5" activePane="bottomRight" state="frozen"/>
      <selection activeCell="F154" sqref="F154"/>
      <selection pane="topRight" activeCell="F154" sqref="F154"/>
      <selection pane="bottomLeft" activeCell="F154" sqref="F154"/>
      <selection pane="bottomRight"/>
    </sheetView>
  </sheetViews>
  <sheetFormatPr defaultColWidth="9.140625" defaultRowHeight="12.75"/>
  <cols>
    <col min="1" max="1" width="38.5703125" style="53" customWidth="1"/>
    <col min="2" max="2" width="11.7109375" style="122" customWidth="1"/>
    <col min="3" max="3" width="11.7109375" style="122" hidden="1" customWidth="1"/>
    <col min="4" max="4" width="11.7109375" style="122" customWidth="1"/>
    <col min="5" max="16384" width="9.140625" style="99"/>
  </cols>
  <sheetData>
    <row r="1" spans="1:4" ht="15">
      <c r="A1" s="49" t="s">
        <v>124</v>
      </c>
      <c r="B1" s="9"/>
      <c r="C1" s="9"/>
      <c r="D1" s="9"/>
    </row>
    <row r="2" spans="1:4" ht="15">
      <c r="A2" s="568"/>
      <c r="B2" s="9"/>
      <c r="C2" s="9"/>
      <c r="D2" s="9"/>
    </row>
    <row r="3" spans="1:4" ht="24" customHeight="1">
      <c r="B3" s="593">
        <v>2018</v>
      </c>
      <c r="C3" s="594"/>
      <c r="D3" s="595"/>
    </row>
    <row r="4" spans="1:4" ht="25.5">
      <c r="B4" s="576" t="s">
        <v>835</v>
      </c>
      <c r="C4" s="575" t="s">
        <v>940</v>
      </c>
      <c r="D4" s="577" t="s">
        <v>836</v>
      </c>
    </row>
    <row r="5" spans="1:4" s="119" customFormat="1">
      <c r="A5" s="150" t="s">
        <v>125</v>
      </c>
      <c r="B5" s="159">
        <f>B6</f>
        <v>27484</v>
      </c>
      <c r="C5" s="159">
        <f t="shared" ref="C5" si="0">C6</f>
        <v>-6830</v>
      </c>
      <c r="D5" s="159">
        <f>B5+C5</f>
        <v>20654</v>
      </c>
    </row>
    <row r="6" spans="1:4" s="119" customFormat="1">
      <c r="A6" s="148" t="s">
        <v>126</v>
      </c>
      <c r="B6" s="160">
        <f>B8+B7</f>
        <v>27484</v>
      </c>
      <c r="C6" s="160">
        <f t="shared" ref="C6" si="1">C8+C7</f>
        <v>-6830</v>
      </c>
      <c r="D6" s="160">
        <f t="shared" ref="D6:D63" si="2">B6+C6</f>
        <v>20654</v>
      </c>
    </row>
    <row r="7" spans="1:4" s="119" customFormat="1">
      <c r="A7" s="149" t="s">
        <v>169</v>
      </c>
      <c r="B7" s="162">
        <v>21084</v>
      </c>
      <c r="C7" s="162">
        <v>-4830</v>
      </c>
      <c r="D7" s="162">
        <f t="shared" si="2"/>
        <v>16254</v>
      </c>
    </row>
    <row r="8" spans="1:4" s="119" customFormat="1">
      <c r="A8" s="149" t="s">
        <v>170</v>
      </c>
      <c r="B8" s="162">
        <v>6400</v>
      </c>
      <c r="C8" s="162">
        <v>-2000</v>
      </c>
      <c r="D8" s="162">
        <f t="shared" si="2"/>
        <v>4400</v>
      </c>
    </row>
    <row r="9" spans="1:4" s="119" customFormat="1">
      <c r="A9" s="149"/>
      <c r="B9" s="162"/>
      <c r="C9" s="162"/>
      <c r="D9" s="162">
        <f t="shared" si="2"/>
        <v>0</v>
      </c>
    </row>
    <row r="10" spans="1:4">
      <c r="A10" s="150" t="s">
        <v>171</v>
      </c>
      <c r="B10" s="159">
        <f>B14+B11</f>
        <v>662410</v>
      </c>
      <c r="C10" s="159"/>
      <c r="D10" s="159">
        <f t="shared" si="2"/>
        <v>662410</v>
      </c>
    </row>
    <row r="11" spans="1:4">
      <c r="A11" s="148" t="s">
        <v>127</v>
      </c>
      <c r="B11" s="160">
        <f>B12+B13</f>
        <v>217710</v>
      </c>
      <c r="C11" s="160"/>
      <c r="D11" s="160">
        <f t="shared" si="2"/>
        <v>217710</v>
      </c>
    </row>
    <row r="12" spans="1:4">
      <c r="A12" s="151" t="s">
        <v>378</v>
      </c>
      <c r="B12" s="161">
        <f>47040+38700</f>
        <v>85740</v>
      </c>
      <c r="C12" s="162"/>
      <c r="D12" s="161">
        <f t="shared" si="2"/>
        <v>85740</v>
      </c>
    </row>
    <row r="13" spans="1:4" ht="25.5">
      <c r="A13" s="151" t="s">
        <v>172</v>
      </c>
      <c r="B13" s="161">
        <f>111200+20770</f>
        <v>131970</v>
      </c>
      <c r="C13" s="162"/>
      <c r="D13" s="161">
        <f t="shared" si="2"/>
        <v>131970</v>
      </c>
    </row>
    <row r="14" spans="1:4">
      <c r="A14" s="148" t="s">
        <v>126</v>
      </c>
      <c r="B14" s="160">
        <f>B15+B16</f>
        <v>444700</v>
      </c>
      <c r="C14" s="160"/>
      <c r="D14" s="160">
        <f t="shared" si="2"/>
        <v>444700</v>
      </c>
    </row>
    <row r="15" spans="1:4">
      <c r="A15" s="149" t="s">
        <v>169</v>
      </c>
      <c r="B15" s="162">
        <v>383700</v>
      </c>
      <c r="C15" s="162"/>
      <c r="D15" s="162">
        <f t="shared" si="2"/>
        <v>383700</v>
      </c>
    </row>
    <row r="16" spans="1:4">
      <c r="A16" s="149" t="s">
        <v>170</v>
      </c>
      <c r="B16" s="162">
        <v>61000</v>
      </c>
      <c r="C16" s="162"/>
      <c r="D16" s="162">
        <f t="shared" si="2"/>
        <v>61000</v>
      </c>
    </row>
    <row r="17" spans="1:4">
      <c r="A17" s="150"/>
      <c r="B17" s="159"/>
      <c r="C17" s="159"/>
      <c r="D17" s="159">
        <f t="shared" si="2"/>
        <v>0</v>
      </c>
    </row>
    <row r="18" spans="1:4">
      <c r="A18" s="150" t="s">
        <v>173</v>
      </c>
      <c r="B18" s="159">
        <f>B19+B21</f>
        <v>33066</v>
      </c>
      <c r="C18" s="159">
        <f t="shared" ref="C18" si="3">C19+C21</f>
        <v>4000</v>
      </c>
      <c r="D18" s="159">
        <f t="shared" si="2"/>
        <v>37066</v>
      </c>
    </row>
    <row r="19" spans="1:4">
      <c r="A19" s="148" t="s">
        <v>128</v>
      </c>
      <c r="B19" s="160">
        <f>B20</f>
        <v>6300</v>
      </c>
      <c r="C19" s="160">
        <f t="shared" ref="C19" si="4">C20</f>
        <v>4000</v>
      </c>
      <c r="D19" s="160">
        <f t="shared" si="2"/>
        <v>10300</v>
      </c>
    </row>
    <row r="20" spans="1:4">
      <c r="A20" s="149" t="s">
        <v>174</v>
      </c>
      <c r="B20" s="162">
        <v>6300</v>
      </c>
      <c r="C20" s="162">
        <v>4000</v>
      </c>
      <c r="D20" s="162">
        <f t="shared" si="2"/>
        <v>10300</v>
      </c>
    </row>
    <row r="21" spans="1:4">
      <c r="A21" s="148" t="s">
        <v>126</v>
      </c>
      <c r="B21" s="160">
        <f>B22+B23</f>
        <v>26766</v>
      </c>
      <c r="C21" s="160"/>
      <c r="D21" s="160">
        <f t="shared" si="2"/>
        <v>26766</v>
      </c>
    </row>
    <row r="22" spans="1:4">
      <c r="A22" s="149" t="s">
        <v>169</v>
      </c>
      <c r="B22" s="162">
        <v>17966</v>
      </c>
      <c r="C22" s="162"/>
      <c r="D22" s="162">
        <f t="shared" si="2"/>
        <v>17966</v>
      </c>
    </row>
    <row r="23" spans="1:4">
      <c r="A23" s="149" t="s">
        <v>170</v>
      </c>
      <c r="B23" s="162">
        <v>8800</v>
      </c>
      <c r="C23" s="162"/>
      <c r="D23" s="162">
        <f t="shared" si="2"/>
        <v>8800</v>
      </c>
    </row>
    <row r="24" spans="1:4">
      <c r="A24" s="148"/>
      <c r="B24" s="160"/>
      <c r="C24" s="160"/>
      <c r="D24" s="160">
        <f t="shared" si="2"/>
        <v>0</v>
      </c>
    </row>
    <row r="25" spans="1:4">
      <c r="A25" s="150" t="s">
        <v>175</v>
      </c>
      <c r="B25" s="159">
        <f t="shared" ref="B25" si="5">B26+B29</f>
        <v>210938</v>
      </c>
      <c r="C25" s="159">
        <v>-2845</v>
      </c>
      <c r="D25" s="159">
        <f t="shared" si="2"/>
        <v>208093</v>
      </c>
    </row>
    <row r="26" spans="1:4">
      <c r="A26" s="148" t="s">
        <v>128</v>
      </c>
      <c r="B26" s="160">
        <f>B27+B28</f>
        <v>201571</v>
      </c>
      <c r="C26" s="160"/>
      <c r="D26" s="160">
        <f t="shared" si="2"/>
        <v>201571</v>
      </c>
    </row>
    <row r="27" spans="1:4">
      <c r="A27" s="149" t="s">
        <v>174</v>
      </c>
      <c r="B27" s="162">
        <v>190321</v>
      </c>
      <c r="C27" s="162"/>
      <c r="D27" s="162">
        <f t="shared" si="2"/>
        <v>190321</v>
      </c>
    </row>
    <row r="28" spans="1:4">
      <c r="A28" s="149" t="s">
        <v>382</v>
      </c>
      <c r="B28" s="162">
        <v>11250</v>
      </c>
      <c r="C28" s="162"/>
      <c r="D28" s="162">
        <f t="shared" si="2"/>
        <v>11250</v>
      </c>
    </row>
    <row r="29" spans="1:4">
      <c r="A29" s="148" t="s">
        <v>126</v>
      </c>
      <c r="B29" s="160">
        <f t="shared" ref="B29" si="6">B30+B31</f>
        <v>9367</v>
      </c>
      <c r="C29" s="160">
        <v>-2845</v>
      </c>
      <c r="D29" s="160">
        <f t="shared" si="2"/>
        <v>6522</v>
      </c>
    </row>
    <row r="30" spans="1:4">
      <c r="A30" s="149" t="s">
        <v>169</v>
      </c>
      <c r="B30" s="162">
        <v>7937</v>
      </c>
      <c r="C30" s="162">
        <v>-2645</v>
      </c>
      <c r="D30" s="162">
        <f t="shared" si="2"/>
        <v>5292</v>
      </c>
    </row>
    <row r="31" spans="1:4">
      <c r="A31" s="149" t="s">
        <v>170</v>
      </c>
      <c r="B31" s="162">
        <v>1430</v>
      </c>
      <c r="C31" s="162">
        <v>-200</v>
      </c>
      <c r="D31" s="162">
        <f t="shared" si="2"/>
        <v>1230</v>
      </c>
    </row>
    <row r="32" spans="1:4" s="119" customFormat="1">
      <c r="A32" s="149"/>
      <c r="B32" s="162"/>
      <c r="C32" s="162"/>
      <c r="D32" s="162">
        <f t="shared" si="2"/>
        <v>0</v>
      </c>
    </row>
    <row r="33" spans="1:4">
      <c r="A33" s="150" t="s">
        <v>176</v>
      </c>
      <c r="B33" s="159">
        <f>B35+B43+B55+B74+B81+B93</f>
        <v>27724645</v>
      </c>
      <c r="C33" s="159">
        <f>C35+C43+C55+C74+C81+C93</f>
        <v>979760</v>
      </c>
      <c r="D33" s="159">
        <f t="shared" si="2"/>
        <v>28704405</v>
      </c>
    </row>
    <row r="34" spans="1:4">
      <c r="A34" s="152"/>
      <c r="B34" s="166"/>
      <c r="C34" s="166"/>
      <c r="D34" s="166">
        <f t="shared" si="2"/>
        <v>0</v>
      </c>
    </row>
    <row r="35" spans="1:4">
      <c r="A35" s="148" t="s">
        <v>402</v>
      </c>
      <c r="B35" s="160">
        <f>B36+B39</f>
        <v>5320650</v>
      </c>
      <c r="C35" s="160">
        <f>C36+C39</f>
        <v>-201200</v>
      </c>
      <c r="D35" s="160">
        <f t="shared" si="2"/>
        <v>5119450</v>
      </c>
    </row>
    <row r="36" spans="1:4">
      <c r="A36" s="148" t="s">
        <v>129</v>
      </c>
      <c r="B36" s="160">
        <f>B37+B38</f>
        <v>5179650</v>
      </c>
      <c r="C36" s="160">
        <f>C37+C38</f>
        <v>-202000</v>
      </c>
      <c r="D36" s="160">
        <f t="shared" si="2"/>
        <v>4977650</v>
      </c>
    </row>
    <row r="37" spans="1:4" ht="38.25">
      <c r="A37" s="151" t="s">
        <v>403</v>
      </c>
      <c r="B37" s="161">
        <v>4841040</v>
      </c>
      <c r="C37" s="161">
        <v>-275000</v>
      </c>
      <c r="D37" s="161">
        <f t="shared" si="2"/>
        <v>4566040</v>
      </c>
    </row>
    <row r="38" spans="1:4" ht="25.5">
      <c r="A38" s="151" t="s">
        <v>404</v>
      </c>
      <c r="B38" s="161">
        <v>338610</v>
      </c>
      <c r="C38" s="162">
        <v>73000</v>
      </c>
      <c r="D38" s="161">
        <f t="shared" si="2"/>
        <v>411610</v>
      </c>
    </row>
    <row r="39" spans="1:4">
      <c r="A39" s="148" t="s">
        <v>126</v>
      </c>
      <c r="B39" s="160">
        <f>B40+B41</f>
        <v>141000</v>
      </c>
      <c r="C39" s="160">
        <f>C40+C41</f>
        <v>800</v>
      </c>
      <c r="D39" s="160">
        <f t="shared" si="2"/>
        <v>141800</v>
      </c>
    </row>
    <row r="40" spans="1:4">
      <c r="A40" s="149" t="s">
        <v>169</v>
      </c>
      <c r="B40" s="162">
        <v>79000</v>
      </c>
      <c r="C40" s="162">
        <v>3800</v>
      </c>
      <c r="D40" s="162">
        <f t="shared" si="2"/>
        <v>82800</v>
      </c>
    </row>
    <row r="41" spans="1:4">
      <c r="A41" s="149" t="s">
        <v>170</v>
      </c>
      <c r="B41" s="162">
        <v>62000</v>
      </c>
      <c r="C41" s="162">
        <v>-3000</v>
      </c>
      <c r="D41" s="162">
        <f t="shared" si="2"/>
        <v>59000</v>
      </c>
    </row>
    <row r="42" spans="1:4">
      <c r="A42" s="149"/>
      <c r="B42" s="162"/>
      <c r="C42" s="162"/>
      <c r="D42" s="162">
        <f t="shared" si="2"/>
        <v>0</v>
      </c>
    </row>
    <row r="43" spans="1:4">
      <c r="A43" s="148" t="s">
        <v>405</v>
      </c>
      <c r="B43" s="160">
        <f>B44+B51</f>
        <v>15221655</v>
      </c>
      <c r="C43" s="160">
        <f>C44+C51</f>
        <v>355550</v>
      </c>
      <c r="D43" s="160">
        <f t="shared" si="2"/>
        <v>15577205</v>
      </c>
    </row>
    <row r="44" spans="1:4">
      <c r="A44" s="148" t="s">
        <v>129</v>
      </c>
      <c r="B44" s="160">
        <f>SUM(B45:B50)</f>
        <v>15010365</v>
      </c>
      <c r="C44" s="160">
        <f>SUM(C45:C50)</f>
        <v>347130</v>
      </c>
      <c r="D44" s="160">
        <f t="shared" si="2"/>
        <v>15357495</v>
      </c>
    </row>
    <row r="45" spans="1:4">
      <c r="A45" s="151" t="s">
        <v>406</v>
      </c>
      <c r="B45" s="161">
        <f>1969505-1500000</f>
        <v>469505</v>
      </c>
      <c r="C45" s="162">
        <v>-105550</v>
      </c>
      <c r="D45" s="161">
        <f t="shared" si="2"/>
        <v>363955</v>
      </c>
    </row>
    <row r="46" spans="1:4">
      <c r="A46" s="151" t="s">
        <v>407</v>
      </c>
      <c r="B46" s="161">
        <v>14142460</v>
      </c>
      <c r="C46" s="162">
        <v>449500</v>
      </c>
      <c r="D46" s="161">
        <f t="shared" si="2"/>
        <v>14591960</v>
      </c>
    </row>
    <row r="47" spans="1:4">
      <c r="A47" s="149" t="s">
        <v>408</v>
      </c>
      <c r="B47" s="162">
        <v>46900</v>
      </c>
      <c r="C47" s="162">
        <v>2680</v>
      </c>
      <c r="D47" s="162">
        <f t="shared" si="2"/>
        <v>49580</v>
      </c>
    </row>
    <row r="48" spans="1:4">
      <c r="A48" s="349" t="s">
        <v>409</v>
      </c>
      <c r="B48" s="350">
        <f>14980-11160</f>
        <v>3820</v>
      </c>
      <c r="C48" s="350">
        <v>-3000</v>
      </c>
      <c r="D48" s="350">
        <f t="shared" si="2"/>
        <v>820</v>
      </c>
    </row>
    <row r="49" spans="1:4">
      <c r="A49" s="149" t="s">
        <v>410</v>
      </c>
      <c r="B49" s="162">
        <v>179990</v>
      </c>
      <c r="C49" s="162">
        <v>18070</v>
      </c>
      <c r="D49" s="162">
        <f t="shared" si="2"/>
        <v>198060</v>
      </c>
    </row>
    <row r="50" spans="1:4">
      <c r="A50" s="149" t="s">
        <v>380</v>
      </c>
      <c r="B50" s="162">
        <v>167690</v>
      </c>
      <c r="C50" s="162">
        <f>-4570-10000</f>
        <v>-14570</v>
      </c>
      <c r="D50" s="162">
        <f t="shared" si="2"/>
        <v>153120</v>
      </c>
    </row>
    <row r="51" spans="1:4">
      <c r="A51" s="148" t="s">
        <v>126</v>
      </c>
      <c r="B51" s="160">
        <f>B52+B53</f>
        <v>211290</v>
      </c>
      <c r="C51" s="160">
        <f>C52+C53</f>
        <v>8420</v>
      </c>
      <c r="D51" s="160">
        <f t="shared" si="2"/>
        <v>219710</v>
      </c>
    </row>
    <row r="52" spans="1:4">
      <c r="A52" s="149" t="s">
        <v>169</v>
      </c>
      <c r="B52" s="162">
        <v>16840</v>
      </c>
      <c r="C52" s="162">
        <v>-1140</v>
      </c>
      <c r="D52" s="162">
        <f t="shared" si="2"/>
        <v>15700</v>
      </c>
    </row>
    <row r="53" spans="1:4">
      <c r="A53" s="149" t="s">
        <v>170</v>
      </c>
      <c r="B53" s="162">
        <f>194020+430</f>
        <v>194450</v>
      </c>
      <c r="C53" s="162">
        <f>5710+670+2950+230</f>
        <v>9560</v>
      </c>
      <c r="D53" s="162">
        <f t="shared" si="2"/>
        <v>204010</v>
      </c>
    </row>
    <row r="54" spans="1:4">
      <c r="A54" s="149"/>
      <c r="B54" s="162"/>
      <c r="C54" s="162"/>
      <c r="D54" s="162">
        <f t="shared" si="2"/>
        <v>0</v>
      </c>
    </row>
    <row r="55" spans="1:4">
      <c r="A55" s="153" t="s">
        <v>411</v>
      </c>
      <c r="B55" s="163">
        <f>B56+B67+B71</f>
        <v>4386480</v>
      </c>
      <c r="C55" s="163">
        <f>C56+C67+C71</f>
        <v>494840</v>
      </c>
      <c r="D55" s="163">
        <f t="shared" si="2"/>
        <v>4881320</v>
      </c>
    </row>
    <row r="56" spans="1:4">
      <c r="A56" s="148" t="s">
        <v>129</v>
      </c>
      <c r="B56" s="160">
        <f>B57+B58+B59+B60+B61+B62+B63+B64+B65+B66</f>
        <v>3865070</v>
      </c>
      <c r="C56" s="160">
        <f>C57+C58+C59+C60+C61+C62+C63+C64+C65+C66</f>
        <v>446730</v>
      </c>
      <c r="D56" s="160">
        <f t="shared" si="2"/>
        <v>4311800</v>
      </c>
    </row>
    <row r="57" spans="1:4">
      <c r="A57" s="151" t="s">
        <v>406</v>
      </c>
      <c r="B57" s="161">
        <v>1680</v>
      </c>
      <c r="C57" s="162">
        <v>3700</v>
      </c>
      <c r="D57" s="161">
        <f t="shared" si="2"/>
        <v>5380</v>
      </c>
    </row>
    <row r="58" spans="1:4">
      <c r="A58" s="151" t="s">
        <v>407</v>
      </c>
      <c r="B58" s="161">
        <v>106110</v>
      </c>
      <c r="C58" s="162">
        <v>10320</v>
      </c>
      <c r="D58" s="161">
        <f t="shared" si="2"/>
        <v>116430</v>
      </c>
    </row>
    <row r="59" spans="1:4">
      <c r="A59" s="151" t="s">
        <v>412</v>
      </c>
      <c r="B59" s="161">
        <v>12700</v>
      </c>
      <c r="C59" s="162">
        <v>-2500</v>
      </c>
      <c r="D59" s="161">
        <f t="shared" si="2"/>
        <v>10200</v>
      </c>
    </row>
    <row r="60" spans="1:4">
      <c r="A60" s="149" t="s">
        <v>177</v>
      </c>
      <c r="B60" s="162">
        <v>1407280</v>
      </c>
      <c r="C60" s="162">
        <v>228320</v>
      </c>
      <c r="D60" s="162">
        <f t="shared" si="2"/>
        <v>1635600</v>
      </c>
    </row>
    <row r="61" spans="1:4">
      <c r="A61" s="149" t="s">
        <v>413</v>
      </c>
      <c r="B61" s="162">
        <v>311250</v>
      </c>
      <c r="C61" s="162">
        <v>33200</v>
      </c>
      <c r="D61" s="162">
        <f t="shared" si="2"/>
        <v>344450</v>
      </c>
    </row>
    <row r="62" spans="1:4">
      <c r="A62" s="149" t="s">
        <v>410</v>
      </c>
      <c r="B62" s="162">
        <v>1956360</v>
      </c>
      <c r="C62" s="162">
        <f>-2700+123260</f>
        <v>120560</v>
      </c>
      <c r="D62" s="162">
        <f t="shared" si="2"/>
        <v>2076920</v>
      </c>
    </row>
    <row r="63" spans="1:4" ht="25.5">
      <c r="A63" s="151" t="s">
        <v>178</v>
      </c>
      <c r="B63" s="161">
        <v>27990</v>
      </c>
      <c r="C63" s="162">
        <v>3160</v>
      </c>
      <c r="D63" s="161">
        <f t="shared" si="2"/>
        <v>31150</v>
      </c>
    </row>
    <row r="64" spans="1:4">
      <c r="A64" s="149" t="s">
        <v>414</v>
      </c>
      <c r="B64" s="162">
        <v>1500</v>
      </c>
      <c r="C64" s="162">
        <v>2460</v>
      </c>
      <c r="D64" s="162">
        <f t="shared" ref="D64:D122" si="7">B64+C64</f>
        <v>3960</v>
      </c>
    </row>
    <row r="65" spans="1:4">
      <c r="A65" s="149" t="s">
        <v>415</v>
      </c>
      <c r="B65" s="162">
        <v>2500</v>
      </c>
      <c r="C65" s="162">
        <v>950</v>
      </c>
      <c r="D65" s="162">
        <f t="shared" si="7"/>
        <v>3450</v>
      </c>
    </row>
    <row r="66" spans="1:4">
      <c r="A66" s="149" t="s">
        <v>380</v>
      </c>
      <c r="B66" s="162">
        <v>37700</v>
      </c>
      <c r="C66" s="162">
        <f>2000+19440+25120</f>
        <v>46560</v>
      </c>
      <c r="D66" s="162">
        <f t="shared" si="7"/>
        <v>84260</v>
      </c>
    </row>
    <row r="67" spans="1:4">
      <c r="A67" s="148" t="s">
        <v>126</v>
      </c>
      <c r="B67" s="160">
        <f>SUM(B68:B69)</f>
        <v>521170</v>
      </c>
      <c r="C67" s="160">
        <f>SUM(C68:C70)</f>
        <v>48110</v>
      </c>
      <c r="D67" s="160">
        <f t="shared" si="7"/>
        <v>569280</v>
      </c>
    </row>
    <row r="68" spans="1:4">
      <c r="A68" s="149" t="s">
        <v>169</v>
      </c>
      <c r="B68" s="162">
        <v>58170</v>
      </c>
      <c r="C68" s="162">
        <v>6700</v>
      </c>
      <c r="D68" s="162">
        <f t="shared" si="7"/>
        <v>64870</v>
      </c>
    </row>
    <row r="69" spans="1:4">
      <c r="A69" s="149" t="s">
        <v>170</v>
      </c>
      <c r="B69" s="162">
        <v>463000</v>
      </c>
      <c r="C69" s="162">
        <f>11830+2990+19800+2120</f>
        <v>36740</v>
      </c>
      <c r="D69" s="162">
        <f t="shared" si="7"/>
        <v>499740</v>
      </c>
    </row>
    <row r="70" spans="1:4">
      <c r="A70" s="149" t="s">
        <v>428</v>
      </c>
      <c r="B70" s="162"/>
      <c r="C70" s="162">
        <v>4670</v>
      </c>
      <c r="D70" s="162">
        <f t="shared" si="7"/>
        <v>4670</v>
      </c>
    </row>
    <row r="71" spans="1:4">
      <c r="A71" s="148" t="s">
        <v>127</v>
      </c>
      <c r="B71" s="160">
        <f>B72</f>
        <v>240</v>
      </c>
      <c r="C71" s="160"/>
      <c r="D71" s="160">
        <f t="shared" si="7"/>
        <v>240</v>
      </c>
    </row>
    <row r="72" spans="1:4">
      <c r="A72" s="149" t="s">
        <v>172</v>
      </c>
      <c r="B72" s="162">
        <v>240</v>
      </c>
      <c r="C72" s="162"/>
      <c r="D72" s="162">
        <f t="shared" si="7"/>
        <v>240</v>
      </c>
    </row>
    <row r="73" spans="1:4">
      <c r="A73" s="149"/>
      <c r="B73" s="162"/>
      <c r="C73" s="162"/>
      <c r="D73" s="162">
        <f t="shared" si="7"/>
        <v>0</v>
      </c>
    </row>
    <row r="74" spans="1:4">
      <c r="A74" s="153" t="s">
        <v>416</v>
      </c>
      <c r="B74" s="163">
        <f>B75+B78</f>
        <v>67000</v>
      </c>
      <c r="C74" s="160">
        <f>C75+C78</f>
        <v>-21490</v>
      </c>
      <c r="D74" s="163">
        <f t="shared" si="7"/>
        <v>45510</v>
      </c>
    </row>
    <row r="75" spans="1:4">
      <c r="A75" s="148" t="s">
        <v>129</v>
      </c>
      <c r="B75" s="160">
        <f>SUM(B76:B77)</f>
        <v>42000</v>
      </c>
      <c r="C75" s="160">
        <f>SUM(C76:C77)</f>
        <v>-18730</v>
      </c>
      <c r="D75" s="160">
        <f t="shared" si="7"/>
        <v>23270</v>
      </c>
    </row>
    <row r="76" spans="1:4">
      <c r="A76" s="151" t="s">
        <v>417</v>
      </c>
      <c r="B76" s="161">
        <v>40000</v>
      </c>
      <c r="C76" s="162">
        <v>-18730</v>
      </c>
      <c r="D76" s="161">
        <f t="shared" si="7"/>
        <v>21270</v>
      </c>
    </row>
    <row r="77" spans="1:4">
      <c r="A77" s="149" t="s">
        <v>410</v>
      </c>
      <c r="B77" s="162">
        <v>2000</v>
      </c>
      <c r="C77" s="162"/>
      <c r="D77" s="162">
        <f t="shared" si="7"/>
        <v>2000</v>
      </c>
    </row>
    <row r="78" spans="1:4">
      <c r="A78" s="148" t="s">
        <v>126</v>
      </c>
      <c r="B78" s="160">
        <f>B79</f>
        <v>25000</v>
      </c>
      <c r="C78" s="160">
        <f>C79</f>
        <v>-2760</v>
      </c>
      <c r="D78" s="160">
        <f t="shared" si="7"/>
        <v>22240</v>
      </c>
    </row>
    <row r="79" spans="1:4">
      <c r="A79" s="149" t="s">
        <v>170</v>
      </c>
      <c r="B79" s="162">
        <v>25000</v>
      </c>
      <c r="C79" s="162">
        <v>-2760</v>
      </c>
      <c r="D79" s="162">
        <f t="shared" si="7"/>
        <v>22240</v>
      </c>
    </row>
    <row r="80" spans="1:4">
      <c r="A80" s="149"/>
      <c r="B80" s="162"/>
      <c r="C80" s="162"/>
      <c r="D80" s="162">
        <f t="shared" si="7"/>
        <v>0</v>
      </c>
    </row>
    <row r="81" spans="1:4">
      <c r="A81" s="148" t="s">
        <v>418</v>
      </c>
      <c r="B81" s="160">
        <f>B82+B89</f>
        <v>2469120</v>
      </c>
      <c r="C81" s="160">
        <f>C82+C89</f>
        <v>331240</v>
      </c>
      <c r="D81" s="160">
        <f t="shared" si="7"/>
        <v>2800360</v>
      </c>
    </row>
    <row r="82" spans="1:4">
      <c r="A82" s="148" t="s">
        <v>129</v>
      </c>
      <c r="B82" s="160">
        <f>SUM(B83:B88)</f>
        <v>2356020</v>
      </c>
      <c r="C82" s="160">
        <f>SUM(C83:C88)</f>
        <v>357920</v>
      </c>
      <c r="D82" s="160">
        <f t="shared" si="7"/>
        <v>2713940</v>
      </c>
    </row>
    <row r="83" spans="1:4">
      <c r="A83" s="149" t="s">
        <v>413</v>
      </c>
      <c r="B83" s="162">
        <f>608040+107730+1406450</f>
        <v>2122220</v>
      </c>
      <c r="C83" s="162">
        <v>235880</v>
      </c>
      <c r="D83" s="162">
        <f t="shared" si="7"/>
        <v>2358100</v>
      </c>
    </row>
    <row r="84" spans="1:4">
      <c r="A84" s="149" t="s">
        <v>179</v>
      </c>
      <c r="B84" s="162">
        <v>21100</v>
      </c>
      <c r="C84" s="162">
        <v>39300</v>
      </c>
      <c r="D84" s="162">
        <f t="shared" si="7"/>
        <v>60400</v>
      </c>
    </row>
    <row r="85" spans="1:4">
      <c r="A85" s="151" t="s">
        <v>174</v>
      </c>
      <c r="B85" s="161">
        <v>11300</v>
      </c>
      <c r="C85" s="162">
        <v>2820</v>
      </c>
      <c r="D85" s="161">
        <f t="shared" si="7"/>
        <v>14120</v>
      </c>
    </row>
    <row r="86" spans="1:4" ht="25.5">
      <c r="A86" s="151" t="s">
        <v>410</v>
      </c>
      <c r="B86" s="161">
        <v>19820</v>
      </c>
      <c r="C86" s="162">
        <v>34740</v>
      </c>
      <c r="D86" s="161">
        <f t="shared" si="7"/>
        <v>54560</v>
      </c>
    </row>
    <row r="87" spans="1:4">
      <c r="A87" s="351" t="s">
        <v>419</v>
      </c>
      <c r="B87" s="352">
        <v>181340</v>
      </c>
      <c r="C87" s="352">
        <v>45180</v>
      </c>
      <c r="D87" s="352">
        <f t="shared" si="7"/>
        <v>226520</v>
      </c>
    </row>
    <row r="88" spans="1:4">
      <c r="A88" s="151" t="s">
        <v>380</v>
      </c>
      <c r="B88" s="161">
        <v>240</v>
      </c>
      <c r="C88" s="162"/>
      <c r="D88" s="161">
        <f t="shared" si="7"/>
        <v>240</v>
      </c>
    </row>
    <row r="89" spans="1:4">
      <c r="A89" s="343" t="s">
        <v>126</v>
      </c>
      <c r="B89" s="346">
        <f>SUM(B90:B91)</f>
        <v>113100</v>
      </c>
      <c r="C89" s="346">
        <f>SUM(C90:C91)</f>
        <v>-26680</v>
      </c>
      <c r="D89" s="346">
        <f t="shared" si="7"/>
        <v>86420</v>
      </c>
    </row>
    <row r="90" spans="1:4">
      <c r="A90" s="149" t="s">
        <v>169</v>
      </c>
      <c r="B90" s="162">
        <v>80000</v>
      </c>
      <c r="C90" s="162">
        <v>-20530</v>
      </c>
      <c r="D90" s="162">
        <f t="shared" si="7"/>
        <v>59470</v>
      </c>
    </row>
    <row r="91" spans="1:4">
      <c r="A91" s="149" t="s">
        <v>170</v>
      </c>
      <c r="B91" s="162">
        <v>33100</v>
      </c>
      <c r="C91" s="162">
        <f>-4400-140-1600-10</f>
        <v>-6150</v>
      </c>
      <c r="D91" s="162">
        <f t="shared" si="7"/>
        <v>26950</v>
      </c>
    </row>
    <row r="92" spans="1:4">
      <c r="A92" s="151"/>
      <c r="B92" s="161"/>
      <c r="C92" s="162"/>
      <c r="D92" s="161">
        <f t="shared" si="7"/>
        <v>0</v>
      </c>
    </row>
    <row r="93" spans="1:4">
      <c r="A93" s="148" t="s">
        <v>420</v>
      </c>
      <c r="B93" s="160">
        <f>B94+B97</f>
        <v>259740</v>
      </c>
      <c r="C93" s="160">
        <f>C94+C97</f>
        <v>20820</v>
      </c>
      <c r="D93" s="160">
        <f t="shared" si="7"/>
        <v>280560</v>
      </c>
    </row>
    <row r="94" spans="1:4">
      <c r="A94" s="353" t="s">
        <v>129</v>
      </c>
      <c r="B94" s="346">
        <f>SUM(B95:B96)</f>
        <v>179600</v>
      </c>
      <c r="C94" s="346">
        <f>SUM(C95:C96)</f>
        <v>21960</v>
      </c>
      <c r="D94" s="346">
        <f t="shared" si="7"/>
        <v>201560</v>
      </c>
    </row>
    <row r="95" spans="1:4">
      <c r="A95" s="149" t="s">
        <v>410</v>
      </c>
      <c r="B95" s="162">
        <v>84700</v>
      </c>
      <c r="C95" s="162">
        <v>3500</v>
      </c>
      <c r="D95" s="162">
        <f t="shared" si="7"/>
        <v>88200</v>
      </c>
    </row>
    <row r="96" spans="1:4">
      <c r="A96" s="149" t="s">
        <v>380</v>
      </c>
      <c r="B96" s="162">
        <v>94900</v>
      </c>
      <c r="C96" s="162">
        <f>22824-4368+4</f>
        <v>18460</v>
      </c>
      <c r="D96" s="162">
        <f t="shared" si="7"/>
        <v>113360</v>
      </c>
    </row>
    <row r="97" spans="1:4">
      <c r="A97" s="148" t="s">
        <v>126</v>
      </c>
      <c r="B97" s="160">
        <f>SUM(B98:B99)</f>
        <v>80140</v>
      </c>
      <c r="C97" s="160">
        <f>SUM(C98:C99)</f>
        <v>-1140</v>
      </c>
      <c r="D97" s="160">
        <f t="shared" si="7"/>
        <v>79000</v>
      </c>
    </row>
    <row r="98" spans="1:4">
      <c r="A98" s="149" t="s">
        <v>169</v>
      </c>
      <c r="B98" s="162">
        <v>56550</v>
      </c>
      <c r="C98" s="162">
        <v>1140</v>
      </c>
      <c r="D98" s="162">
        <f t="shared" si="7"/>
        <v>57690</v>
      </c>
    </row>
    <row r="99" spans="1:4">
      <c r="A99" s="149" t="s">
        <v>170</v>
      </c>
      <c r="B99" s="162">
        <v>23590</v>
      </c>
      <c r="C99" s="162">
        <f>-1490-500-290</f>
        <v>-2280</v>
      </c>
      <c r="D99" s="162">
        <f t="shared" si="7"/>
        <v>21310</v>
      </c>
    </row>
    <row r="100" spans="1:4">
      <c r="A100" s="151"/>
      <c r="B100" s="161"/>
      <c r="C100" s="162"/>
      <c r="D100" s="161">
        <f t="shared" si="7"/>
        <v>0</v>
      </c>
    </row>
    <row r="101" spans="1:4">
      <c r="A101" s="150" t="s">
        <v>182</v>
      </c>
      <c r="B101" s="159">
        <f>B103+B112+B121+B127+B140+B146+B161+B174+B188+B197</f>
        <v>4960000</v>
      </c>
      <c r="C101" s="159">
        <f>C103+C112+C121+C127+C140+C146+C161+C174+C188+C197</f>
        <v>345000</v>
      </c>
      <c r="D101" s="159">
        <f t="shared" si="7"/>
        <v>5305000</v>
      </c>
    </row>
    <row r="102" spans="1:4">
      <c r="A102" s="152"/>
      <c r="B102" s="166"/>
      <c r="C102" s="166"/>
      <c r="D102" s="166">
        <f t="shared" si="7"/>
        <v>0</v>
      </c>
    </row>
    <row r="103" spans="1:4">
      <c r="A103" s="148" t="s">
        <v>421</v>
      </c>
      <c r="B103" s="160">
        <f>B104+B106+B109</f>
        <v>103000</v>
      </c>
      <c r="C103" s="160">
        <f>C104+C106+C109</f>
        <v>50000</v>
      </c>
      <c r="D103" s="160">
        <f t="shared" si="7"/>
        <v>153000</v>
      </c>
    </row>
    <row r="104" spans="1:4">
      <c r="A104" s="148" t="s">
        <v>130</v>
      </c>
      <c r="B104" s="160">
        <f>B105</f>
        <v>800</v>
      </c>
      <c r="C104" s="160">
        <f>C105</f>
        <v>0</v>
      </c>
      <c r="D104" s="160">
        <f t="shared" si="7"/>
        <v>800</v>
      </c>
    </row>
    <row r="105" spans="1:4">
      <c r="A105" s="149" t="s">
        <v>183</v>
      </c>
      <c r="B105" s="162">
        <v>800</v>
      </c>
      <c r="C105" s="162"/>
      <c r="D105" s="162">
        <f t="shared" si="7"/>
        <v>800</v>
      </c>
    </row>
    <row r="106" spans="1:4">
      <c r="A106" s="148" t="s">
        <v>126</v>
      </c>
      <c r="B106" s="160">
        <f>SUM(B107:B108)</f>
        <v>81200</v>
      </c>
      <c r="C106" s="160">
        <f>SUM(C107:C108)</f>
        <v>1000</v>
      </c>
      <c r="D106" s="160">
        <f t="shared" si="7"/>
        <v>82200</v>
      </c>
    </row>
    <row r="107" spans="1:4">
      <c r="A107" s="149" t="s">
        <v>169</v>
      </c>
      <c r="B107" s="162">
        <v>79200</v>
      </c>
      <c r="C107" s="162"/>
      <c r="D107" s="162">
        <f t="shared" si="7"/>
        <v>79200</v>
      </c>
    </row>
    <row r="108" spans="1:4">
      <c r="A108" s="149" t="s">
        <v>170</v>
      </c>
      <c r="B108" s="162">
        <v>2000</v>
      </c>
      <c r="C108" s="162">
        <v>1000</v>
      </c>
      <c r="D108" s="162">
        <f t="shared" si="7"/>
        <v>3000</v>
      </c>
    </row>
    <row r="109" spans="1:4">
      <c r="A109" s="148" t="s">
        <v>127</v>
      </c>
      <c r="B109" s="160">
        <f>B110</f>
        <v>21000</v>
      </c>
      <c r="C109" s="160">
        <f t="shared" ref="C109:D109" si="8">C110</f>
        <v>49000</v>
      </c>
      <c r="D109" s="160">
        <f t="shared" si="8"/>
        <v>70000</v>
      </c>
    </row>
    <row r="110" spans="1:4">
      <c r="A110" s="149" t="s">
        <v>184</v>
      </c>
      <c r="B110" s="162">
        <v>21000</v>
      </c>
      <c r="C110" s="162">
        <v>49000</v>
      </c>
      <c r="D110" s="162">
        <f t="shared" si="7"/>
        <v>70000</v>
      </c>
    </row>
    <row r="111" spans="1:4">
      <c r="A111" s="149"/>
      <c r="B111" s="162"/>
      <c r="C111" s="162"/>
      <c r="D111" s="162">
        <f t="shared" si="7"/>
        <v>0</v>
      </c>
    </row>
    <row r="112" spans="1:4">
      <c r="A112" s="148" t="s">
        <v>422</v>
      </c>
      <c r="B112" s="160">
        <f>B113+B118</f>
        <v>153000</v>
      </c>
      <c r="C112" s="160">
        <f>C113+C118</f>
        <v>7000</v>
      </c>
      <c r="D112" s="160">
        <f t="shared" si="7"/>
        <v>160000</v>
      </c>
    </row>
    <row r="113" spans="1:4">
      <c r="A113" s="148" t="s">
        <v>130</v>
      </c>
      <c r="B113" s="160">
        <f>SUM(B114:B116)</f>
        <v>125000</v>
      </c>
      <c r="C113" s="160">
        <f>SUM(C114:C117)</f>
        <v>7000</v>
      </c>
      <c r="D113" s="160">
        <f t="shared" si="7"/>
        <v>132000</v>
      </c>
    </row>
    <row r="114" spans="1:4">
      <c r="A114" s="151" t="s">
        <v>174</v>
      </c>
      <c r="B114" s="161">
        <v>115000</v>
      </c>
      <c r="C114" s="162">
        <v>4500</v>
      </c>
      <c r="D114" s="161">
        <f t="shared" si="7"/>
        <v>119500</v>
      </c>
    </row>
    <row r="115" spans="1:4" ht="25.5">
      <c r="A115" s="151" t="s">
        <v>185</v>
      </c>
      <c r="B115" s="161">
        <v>9500</v>
      </c>
      <c r="C115" s="162"/>
      <c r="D115" s="161">
        <f t="shared" si="7"/>
        <v>9500</v>
      </c>
    </row>
    <row r="116" spans="1:4" ht="25.5">
      <c r="A116" s="151" t="s">
        <v>178</v>
      </c>
      <c r="B116" s="161">
        <v>500</v>
      </c>
      <c r="C116" s="162"/>
      <c r="D116" s="161">
        <f t="shared" si="7"/>
        <v>500</v>
      </c>
    </row>
    <row r="117" spans="1:4">
      <c r="A117" s="151" t="s">
        <v>425</v>
      </c>
      <c r="B117" s="161"/>
      <c r="C117" s="161">
        <v>2500</v>
      </c>
      <c r="D117" s="161">
        <f t="shared" si="7"/>
        <v>2500</v>
      </c>
    </row>
    <row r="118" spans="1:4">
      <c r="A118" s="148" t="s">
        <v>126</v>
      </c>
      <c r="B118" s="160">
        <f>B119</f>
        <v>28000</v>
      </c>
      <c r="C118" s="160"/>
      <c r="D118" s="160">
        <f t="shared" si="7"/>
        <v>28000</v>
      </c>
    </row>
    <row r="119" spans="1:4">
      <c r="A119" s="149" t="s">
        <v>170</v>
      </c>
      <c r="B119" s="162">
        <v>28000</v>
      </c>
      <c r="C119" s="162"/>
      <c r="D119" s="162">
        <f t="shared" si="7"/>
        <v>28000</v>
      </c>
    </row>
    <row r="120" spans="1:4">
      <c r="A120" s="151"/>
      <c r="B120" s="161"/>
      <c r="C120" s="162"/>
      <c r="D120" s="161">
        <f t="shared" si="7"/>
        <v>0</v>
      </c>
    </row>
    <row r="121" spans="1:4">
      <c r="A121" s="354" t="s">
        <v>423</v>
      </c>
      <c r="B121" s="160">
        <f>B122</f>
        <v>32000</v>
      </c>
      <c r="C121" s="160">
        <f>C122</f>
        <v>0</v>
      </c>
      <c r="D121" s="160">
        <f t="shared" si="7"/>
        <v>32000</v>
      </c>
    </row>
    <row r="122" spans="1:4">
      <c r="A122" s="148" t="s">
        <v>130</v>
      </c>
      <c r="B122" s="160">
        <f>SUM(B123:B125)</f>
        <v>32000</v>
      </c>
      <c r="C122" s="160">
        <f>SUM(C123:C125)</f>
        <v>0</v>
      </c>
      <c r="D122" s="160">
        <f t="shared" si="7"/>
        <v>32000</v>
      </c>
    </row>
    <row r="123" spans="1:4">
      <c r="A123" s="149" t="s">
        <v>183</v>
      </c>
      <c r="B123" s="162">
        <v>30700</v>
      </c>
      <c r="C123" s="162"/>
      <c r="D123" s="162">
        <f t="shared" ref="D123:D180" si="9">B123+C123</f>
        <v>30700</v>
      </c>
    </row>
    <row r="124" spans="1:4">
      <c r="A124" s="151" t="s">
        <v>174</v>
      </c>
      <c r="B124" s="161">
        <v>700</v>
      </c>
      <c r="C124" s="162">
        <v>-400</v>
      </c>
      <c r="D124" s="161">
        <f t="shared" si="9"/>
        <v>300</v>
      </c>
    </row>
    <row r="125" spans="1:4" ht="25.5">
      <c r="A125" s="151" t="s">
        <v>185</v>
      </c>
      <c r="B125" s="161">
        <v>600</v>
      </c>
      <c r="C125" s="162">
        <v>400</v>
      </c>
      <c r="D125" s="161">
        <f t="shared" si="9"/>
        <v>1000</v>
      </c>
    </row>
    <row r="126" spans="1:4">
      <c r="A126" s="151"/>
      <c r="B126" s="161"/>
      <c r="C126" s="162"/>
      <c r="D126" s="161">
        <f t="shared" si="9"/>
        <v>0</v>
      </c>
    </row>
    <row r="127" spans="1:4">
      <c r="A127" s="148" t="s">
        <v>424</v>
      </c>
      <c r="B127" s="160">
        <f>B128+B134+B137</f>
        <v>810000</v>
      </c>
      <c r="C127" s="160">
        <f>C128+C134+C137</f>
        <v>0</v>
      </c>
      <c r="D127" s="160">
        <f t="shared" si="9"/>
        <v>810000</v>
      </c>
    </row>
    <row r="128" spans="1:4">
      <c r="A128" s="148" t="s">
        <v>130</v>
      </c>
      <c r="B128" s="160">
        <f>SUM(B129:B133)</f>
        <v>586600</v>
      </c>
      <c r="C128" s="160">
        <f t="shared" ref="C128" si="10">SUM(C129:C133)</f>
        <v>45000</v>
      </c>
      <c r="D128" s="160">
        <f t="shared" si="9"/>
        <v>631600</v>
      </c>
    </row>
    <row r="129" spans="1:4">
      <c r="A129" s="149" t="s">
        <v>179</v>
      </c>
      <c r="B129" s="162">
        <v>330000</v>
      </c>
      <c r="C129" s="162"/>
      <c r="D129" s="162">
        <f t="shared" si="9"/>
        <v>330000</v>
      </c>
    </row>
    <row r="130" spans="1:4">
      <c r="A130" s="151" t="s">
        <v>174</v>
      </c>
      <c r="B130" s="161">
        <v>180300</v>
      </c>
      <c r="C130" s="162">
        <v>45000</v>
      </c>
      <c r="D130" s="161">
        <f t="shared" si="9"/>
        <v>225300</v>
      </c>
    </row>
    <row r="131" spans="1:4" ht="25.5">
      <c r="A131" s="151" t="s">
        <v>185</v>
      </c>
      <c r="B131" s="161">
        <v>57000</v>
      </c>
      <c r="C131" s="162"/>
      <c r="D131" s="161">
        <f t="shared" si="9"/>
        <v>57000</v>
      </c>
    </row>
    <row r="132" spans="1:4" ht="25.5">
      <c r="A132" s="151" t="s">
        <v>178</v>
      </c>
      <c r="B132" s="161">
        <v>300</v>
      </c>
      <c r="C132" s="162"/>
      <c r="D132" s="161">
        <f t="shared" si="9"/>
        <v>300</v>
      </c>
    </row>
    <row r="133" spans="1:4">
      <c r="A133" s="151" t="s">
        <v>425</v>
      </c>
      <c r="B133" s="161">
        <v>19000</v>
      </c>
      <c r="C133" s="162"/>
      <c r="D133" s="161">
        <f t="shared" si="9"/>
        <v>19000</v>
      </c>
    </row>
    <row r="134" spans="1:4">
      <c r="A134" s="148" t="s">
        <v>126</v>
      </c>
      <c r="B134" s="160">
        <f>SUM(B135:B136)</f>
        <v>11400</v>
      </c>
      <c r="C134" s="160">
        <f t="shared" ref="C134" si="11">SUM(C135:C136)</f>
        <v>500</v>
      </c>
      <c r="D134" s="160">
        <f t="shared" si="9"/>
        <v>11900</v>
      </c>
    </row>
    <row r="135" spans="1:4">
      <c r="A135" s="149" t="s">
        <v>169</v>
      </c>
      <c r="B135" s="162">
        <v>10400</v>
      </c>
      <c r="C135" s="162">
        <v>500</v>
      </c>
      <c r="D135" s="162">
        <f t="shared" si="9"/>
        <v>10900</v>
      </c>
    </row>
    <row r="136" spans="1:4">
      <c r="A136" s="149" t="s">
        <v>170</v>
      </c>
      <c r="B136" s="162">
        <v>1000</v>
      </c>
      <c r="C136" s="162"/>
      <c r="D136" s="162">
        <f t="shared" si="9"/>
        <v>1000</v>
      </c>
    </row>
    <row r="137" spans="1:4">
      <c r="A137" s="343" t="s">
        <v>127</v>
      </c>
      <c r="B137" s="346">
        <f>B138</f>
        <v>212000</v>
      </c>
      <c r="C137" s="346">
        <f t="shared" ref="C137" si="12">C138</f>
        <v>-45500</v>
      </c>
      <c r="D137" s="346">
        <f t="shared" si="9"/>
        <v>166500</v>
      </c>
    </row>
    <row r="138" spans="1:4">
      <c r="A138" s="149" t="s">
        <v>184</v>
      </c>
      <c r="B138" s="162">
        <f>4000+208000</f>
        <v>212000</v>
      </c>
      <c r="C138" s="162">
        <f>-46500+1000</f>
        <v>-45500</v>
      </c>
      <c r="D138" s="162">
        <f t="shared" si="9"/>
        <v>166500</v>
      </c>
    </row>
    <row r="139" spans="1:4">
      <c r="A139" s="149"/>
      <c r="B139" s="162"/>
      <c r="C139" s="162"/>
      <c r="D139" s="162">
        <f t="shared" si="9"/>
        <v>0</v>
      </c>
    </row>
    <row r="140" spans="1:4">
      <c r="A140" s="148" t="s">
        <v>426</v>
      </c>
      <c r="B140" s="160">
        <f>B141</f>
        <v>17000</v>
      </c>
      <c r="C140" s="160">
        <f>C141</f>
        <v>8000</v>
      </c>
      <c r="D140" s="160">
        <f t="shared" si="9"/>
        <v>25000</v>
      </c>
    </row>
    <row r="141" spans="1:4">
      <c r="A141" s="148" t="s">
        <v>130</v>
      </c>
      <c r="B141" s="160">
        <f>SUM(B142:B144)</f>
        <v>17000</v>
      </c>
      <c r="C141" s="160">
        <f>SUM(C142:C144)</f>
        <v>8000</v>
      </c>
      <c r="D141" s="160">
        <f t="shared" si="9"/>
        <v>25000</v>
      </c>
    </row>
    <row r="142" spans="1:4">
      <c r="A142" s="149" t="s">
        <v>179</v>
      </c>
      <c r="B142" s="162">
        <v>6000</v>
      </c>
      <c r="C142" s="162">
        <v>1000</v>
      </c>
      <c r="D142" s="162">
        <f t="shared" si="9"/>
        <v>7000</v>
      </c>
    </row>
    <row r="143" spans="1:4">
      <c r="A143" s="149" t="s">
        <v>174</v>
      </c>
      <c r="B143" s="162">
        <v>10000</v>
      </c>
      <c r="C143" s="162">
        <v>5000</v>
      </c>
      <c r="D143" s="162">
        <f t="shared" si="9"/>
        <v>15000</v>
      </c>
    </row>
    <row r="144" spans="1:4" ht="25.5">
      <c r="A144" s="151" t="s">
        <v>185</v>
      </c>
      <c r="B144" s="161">
        <v>1000</v>
      </c>
      <c r="C144" s="162">
        <v>2000</v>
      </c>
      <c r="D144" s="161">
        <f t="shared" si="9"/>
        <v>3000</v>
      </c>
    </row>
    <row r="145" spans="1:4">
      <c r="A145" s="151"/>
      <c r="B145" s="161"/>
      <c r="C145" s="162"/>
      <c r="D145" s="161">
        <f t="shared" si="9"/>
        <v>0</v>
      </c>
    </row>
    <row r="146" spans="1:4">
      <c r="A146" s="148" t="s">
        <v>427</v>
      </c>
      <c r="B146" s="160">
        <f>B147+B152+B155+B157</f>
        <v>1645000</v>
      </c>
      <c r="C146" s="160">
        <f>C147+C152+C155+C157</f>
        <v>170000</v>
      </c>
      <c r="D146" s="160">
        <f t="shared" si="9"/>
        <v>1815000</v>
      </c>
    </row>
    <row r="147" spans="1:4">
      <c r="A147" s="148" t="s">
        <v>130</v>
      </c>
      <c r="B147" s="160">
        <f>B148+B149+B150+B151</f>
        <v>1408000</v>
      </c>
      <c r="C147" s="160">
        <f>SUM(C148:C151)</f>
        <v>158000</v>
      </c>
      <c r="D147" s="160">
        <f t="shared" si="9"/>
        <v>1566000</v>
      </c>
    </row>
    <row r="148" spans="1:4">
      <c r="A148" s="149" t="s">
        <v>179</v>
      </c>
      <c r="B148" s="162">
        <v>1273000</v>
      </c>
      <c r="C148" s="162">
        <v>143000</v>
      </c>
      <c r="D148" s="162">
        <f t="shared" si="9"/>
        <v>1416000</v>
      </c>
    </row>
    <row r="149" spans="1:4">
      <c r="A149" s="151" t="s">
        <v>174</v>
      </c>
      <c r="B149" s="161">
        <v>76000</v>
      </c>
      <c r="C149" s="162">
        <v>13000</v>
      </c>
      <c r="D149" s="161">
        <f t="shared" si="9"/>
        <v>89000</v>
      </c>
    </row>
    <row r="150" spans="1:4" ht="25.5">
      <c r="A150" s="151" t="s">
        <v>185</v>
      </c>
      <c r="B150" s="161">
        <v>26000</v>
      </c>
      <c r="C150" s="162">
        <v>4000</v>
      </c>
      <c r="D150" s="161">
        <f t="shared" si="9"/>
        <v>30000</v>
      </c>
    </row>
    <row r="151" spans="1:4">
      <c r="A151" s="151" t="s">
        <v>425</v>
      </c>
      <c r="B151" s="161">
        <v>33000</v>
      </c>
      <c r="C151" s="517">
        <f>-2000</f>
        <v>-2000</v>
      </c>
      <c r="D151" s="161">
        <f t="shared" si="9"/>
        <v>31000</v>
      </c>
    </row>
    <row r="152" spans="1:4">
      <c r="A152" s="148" t="s">
        <v>126</v>
      </c>
      <c r="B152" s="160">
        <f>SUM(B153:B154)</f>
        <v>87000</v>
      </c>
      <c r="C152" s="160">
        <f>SUM(C153:C154)</f>
        <v>-3000</v>
      </c>
      <c r="D152" s="160">
        <f t="shared" si="9"/>
        <v>84000</v>
      </c>
    </row>
    <row r="153" spans="1:4">
      <c r="A153" s="149" t="s">
        <v>170</v>
      </c>
      <c r="B153" s="162">
        <v>10000</v>
      </c>
      <c r="C153" s="517">
        <v>-3000</v>
      </c>
      <c r="D153" s="162">
        <f t="shared" si="9"/>
        <v>7000</v>
      </c>
    </row>
    <row r="154" spans="1:4">
      <c r="A154" s="149" t="s">
        <v>428</v>
      </c>
      <c r="B154" s="162">
        <v>77000</v>
      </c>
      <c r="C154" s="517"/>
      <c r="D154" s="162">
        <f t="shared" si="9"/>
        <v>77000</v>
      </c>
    </row>
    <row r="155" spans="1:4">
      <c r="A155" s="153" t="s">
        <v>133</v>
      </c>
      <c r="B155" s="163">
        <f>B156</f>
        <v>45000</v>
      </c>
      <c r="C155" s="160">
        <f>C156</f>
        <v>0</v>
      </c>
      <c r="D155" s="163">
        <f t="shared" si="9"/>
        <v>45000</v>
      </c>
    </row>
    <row r="156" spans="1:4">
      <c r="A156" s="149" t="s">
        <v>186</v>
      </c>
      <c r="B156" s="162">
        <v>45000</v>
      </c>
      <c r="C156" s="518"/>
      <c r="D156" s="162">
        <f t="shared" si="9"/>
        <v>45000</v>
      </c>
    </row>
    <row r="157" spans="1:4">
      <c r="A157" s="148" t="s">
        <v>127</v>
      </c>
      <c r="B157" s="160">
        <f>SUM(B158:B159)</f>
        <v>105000</v>
      </c>
      <c r="C157" s="160">
        <f>SUM(C158:C159)</f>
        <v>15000</v>
      </c>
      <c r="D157" s="160">
        <f t="shared" si="9"/>
        <v>120000</v>
      </c>
    </row>
    <row r="158" spans="1:4">
      <c r="A158" s="151" t="s">
        <v>187</v>
      </c>
      <c r="B158" s="161">
        <v>5000</v>
      </c>
      <c r="C158" s="519"/>
      <c r="D158" s="161">
        <f t="shared" si="9"/>
        <v>5000</v>
      </c>
    </row>
    <row r="159" spans="1:4" ht="25.5">
      <c r="A159" s="151" t="s">
        <v>172</v>
      </c>
      <c r="B159" s="161">
        <v>100000</v>
      </c>
      <c r="C159" s="162">
        <v>15000</v>
      </c>
      <c r="D159" s="161">
        <f t="shared" si="9"/>
        <v>115000</v>
      </c>
    </row>
    <row r="160" spans="1:4">
      <c r="A160" s="151"/>
      <c r="B160" s="161"/>
      <c r="C160" s="162"/>
      <c r="D160" s="161">
        <f t="shared" si="9"/>
        <v>0</v>
      </c>
    </row>
    <row r="161" spans="1:4">
      <c r="A161" s="148" t="s">
        <v>429</v>
      </c>
      <c r="B161" s="160">
        <f>B162+B167+B171</f>
        <v>1310000</v>
      </c>
      <c r="C161" s="160">
        <f>C162+C167+C171</f>
        <v>105000</v>
      </c>
      <c r="D161" s="160">
        <f t="shared" si="9"/>
        <v>1415000</v>
      </c>
    </row>
    <row r="162" spans="1:4">
      <c r="A162" s="148" t="s">
        <v>130</v>
      </c>
      <c r="B162" s="160">
        <f>B163+B164+B165+B166</f>
        <v>1184500</v>
      </c>
      <c r="C162" s="160">
        <f>SUM(C163:C166)</f>
        <v>88850</v>
      </c>
      <c r="D162" s="160">
        <f t="shared" si="9"/>
        <v>1273350</v>
      </c>
    </row>
    <row r="163" spans="1:4">
      <c r="A163" s="149" t="s">
        <v>179</v>
      </c>
      <c r="B163" s="162">
        <v>1107000</v>
      </c>
      <c r="C163" s="162">
        <v>86000</v>
      </c>
      <c r="D163" s="162">
        <f t="shared" si="9"/>
        <v>1193000</v>
      </c>
    </row>
    <row r="164" spans="1:4">
      <c r="A164" s="151" t="s">
        <v>174</v>
      </c>
      <c r="B164" s="161">
        <v>42000</v>
      </c>
      <c r="C164" s="162">
        <v>18000</v>
      </c>
      <c r="D164" s="161">
        <f t="shared" si="9"/>
        <v>60000</v>
      </c>
    </row>
    <row r="165" spans="1:4" ht="25.5">
      <c r="A165" s="151" t="s">
        <v>185</v>
      </c>
      <c r="B165" s="161">
        <v>35000</v>
      </c>
      <c r="C165" s="162">
        <v>-15150</v>
      </c>
      <c r="D165" s="161">
        <f t="shared" si="9"/>
        <v>19850</v>
      </c>
    </row>
    <row r="166" spans="1:4" ht="25.5">
      <c r="A166" s="151" t="s">
        <v>178</v>
      </c>
      <c r="B166" s="161">
        <v>500</v>
      </c>
      <c r="C166" s="162"/>
      <c r="D166" s="161">
        <f t="shared" si="9"/>
        <v>500</v>
      </c>
    </row>
    <row r="167" spans="1:4">
      <c r="A167" s="148" t="s">
        <v>126</v>
      </c>
      <c r="B167" s="160">
        <f>SUM(B168:B170)</f>
        <v>16500</v>
      </c>
      <c r="C167" s="160">
        <f>SUM(C168:C170)</f>
        <v>3150</v>
      </c>
      <c r="D167" s="160">
        <f t="shared" si="9"/>
        <v>19650</v>
      </c>
    </row>
    <row r="168" spans="1:4">
      <c r="A168" s="149" t="s">
        <v>169</v>
      </c>
      <c r="B168" s="162">
        <v>3150</v>
      </c>
      <c r="C168" s="162">
        <v>3150</v>
      </c>
      <c r="D168" s="162">
        <f t="shared" si="9"/>
        <v>6300</v>
      </c>
    </row>
    <row r="169" spans="1:4">
      <c r="A169" s="149" t="s">
        <v>170</v>
      </c>
      <c r="B169" s="162">
        <v>12750</v>
      </c>
      <c r="C169" s="162"/>
      <c r="D169" s="162">
        <f t="shared" si="9"/>
        <v>12750</v>
      </c>
    </row>
    <row r="170" spans="1:4">
      <c r="A170" s="149" t="s">
        <v>428</v>
      </c>
      <c r="B170" s="162">
        <v>600</v>
      </c>
      <c r="C170" s="162"/>
      <c r="D170" s="162">
        <f t="shared" si="9"/>
        <v>600</v>
      </c>
    </row>
    <row r="171" spans="1:4">
      <c r="A171" s="148" t="s">
        <v>127</v>
      </c>
      <c r="B171" s="160">
        <f>B172</f>
        <v>109000</v>
      </c>
      <c r="C171" s="160">
        <f>C172</f>
        <v>13000</v>
      </c>
      <c r="D171" s="160">
        <f t="shared" si="9"/>
        <v>122000</v>
      </c>
    </row>
    <row r="172" spans="1:4">
      <c r="A172" s="151" t="s">
        <v>187</v>
      </c>
      <c r="B172" s="161">
        <v>109000</v>
      </c>
      <c r="C172" s="162">
        <v>13000</v>
      </c>
      <c r="D172" s="161">
        <f t="shared" si="9"/>
        <v>122000</v>
      </c>
    </row>
    <row r="173" spans="1:4">
      <c r="A173" s="151"/>
      <c r="B173" s="161"/>
      <c r="C173" s="162"/>
      <c r="D173" s="161">
        <f t="shared" si="9"/>
        <v>0</v>
      </c>
    </row>
    <row r="174" spans="1:4">
      <c r="A174" s="148" t="s">
        <v>430</v>
      </c>
      <c r="B174" s="160">
        <f>B175+B181+B185</f>
        <v>472000</v>
      </c>
      <c r="C174" s="160">
        <f>C175+C181+C185+C183</f>
        <v>0</v>
      </c>
      <c r="D174" s="160">
        <f t="shared" si="9"/>
        <v>472000</v>
      </c>
    </row>
    <row r="175" spans="1:4">
      <c r="A175" s="148" t="s">
        <v>130</v>
      </c>
      <c r="B175" s="160">
        <f>B176+B177+B178+B179</f>
        <v>405000</v>
      </c>
      <c r="C175" s="160">
        <f>SUM(C176:C180)</f>
        <v>14100</v>
      </c>
      <c r="D175" s="160">
        <f t="shared" si="9"/>
        <v>419100</v>
      </c>
    </row>
    <row r="176" spans="1:4">
      <c r="A176" s="149" t="s">
        <v>179</v>
      </c>
      <c r="B176" s="162">
        <f>157000+38000</f>
        <v>195000</v>
      </c>
      <c r="C176" s="162">
        <v>-11000</v>
      </c>
      <c r="D176" s="162">
        <f t="shared" si="9"/>
        <v>184000</v>
      </c>
    </row>
    <row r="177" spans="1:4">
      <c r="A177" s="151" t="s">
        <v>174</v>
      </c>
      <c r="B177" s="161">
        <v>50000</v>
      </c>
      <c r="C177" s="162">
        <v>28000</v>
      </c>
      <c r="D177" s="161">
        <f t="shared" si="9"/>
        <v>78000</v>
      </c>
    </row>
    <row r="178" spans="1:4" ht="25.5">
      <c r="A178" s="151" t="s">
        <v>185</v>
      </c>
      <c r="B178" s="161">
        <v>150000</v>
      </c>
      <c r="C178" s="162">
        <v>-6000</v>
      </c>
      <c r="D178" s="161">
        <f t="shared" si="9"/>
        <v>144000</v>
      </c>
    </row>
    <row r="179" spans="1:4" ht="25.5">
      <c r="A179" s="151" t="s">
        <v>178</v>
      </c>
      <c r="B179" s="161">
        <v>10000</v>
      </c>
      <c r="C179" s="162">
        <v>3000</v>
      </c>
      <c r="D179" s="161">
        <f t="shared" si="9"/>
        <v>13000</v>
      </c>
    </row>
    <row r="180" spans="1:4">
      <c r="A180" s="149" t="s">
        <v>425</v>
      </c>
      <c r="B180" s="161"/>
      <c r="C180" s="162">
        <v>100</v>
      </c>
      <c r="D180" s="161">
        <f t="shared" si="9"/>
        <v>100</v>
      </c>
    </row>
    <row r="181" spans="1:4">
      <c r="A181" s="153" t="s">
        <v>133</v>
      </c>
      <c r="B181" s="163">
        <f>B182</f>
        <v>12000</v>
      </c>
      <c r="C181" s="160"/>
      <c r="D181" s="163">
        <f t="shared" ref="D181:D242" si="13">B181+C181</f>
        <v>12000</v>
      </c>
    </row>
    <row r="182" spans="1:4">
      <c r="A182" s="149" t="s">
        <v>186</v>
      </c>
      <c r="B182" s="162">
        <v>12000</v>
      </c>
      <c r="C182" s="162"/>
      <c r="D182" s="162">
        <f t="shared" si="13"/>
        <v>12000</v>
      </c>
    </row>
    <row r="183" spans="1:4">
      <c r="A183" s="148" t="s">
        <v>126</v>
      </c>
      <c r="B183" s="160">
        <f t="shared" ref="B183" si="14">B184</f>
        <v>0</v>
      </c>
      <c r="C183" s="522">
        <f>SUM(C184)</f>
        <v>900</v>
      </c>
      <c r="D183" s="162">
        <f t="shared" si="13"/>
        <v>900</v>
      </c>
    </row>
    <row r="184" spans="1:4">
      <c r="A184" s="149" t="s">
        <v>428</v>
      </c>
      <c r="B184" s="162"/>
      <c r="C184" s="519">
        <v>900</v>
      </c>
      <c r="D184" s="162">
        <f t="shared" si="13"/>
        <v>900</v>
      </c>
    </row>
    <row r="185" spans="1:4">
      <c r="A185" s="148" t="s">
        <v>127</v>
      </c>
      <c r="B185" s="160">
        <f>B186</f>
        <v>55000</v>
      </c>
      <c r="C185" s="160">
        <f>C186</f>
        <v>-15000</v>
      </c>
      <c r="D185" s="160">
        <f t="shared" si="13"/>
        <v>40000</v>
      </c>
    </row>
    <row r="186" spans="1:4" s="514" customFormat="1">
      <c r="A186" s="151" t="s">
        <v>187</v>
      </c>
      <c r="B186" s="161">
        <f>38000+17000</f>
        <v>55000</v>
      </c>
      <c r="C186" s="162">
        <v>-15000</v>
      </c>
      <c r="D186" s="161">
        <f t="shared" si="13"/>
        <v>40000</v>
      </c>
    </row>
    <row r="187" spans="1:4">
      <c r="A187" s="151"/>
      <c r="B187" s="161"/>
      <c r="C187" s="162"/>
      <c r="D187" s="161">
        <f t="shared" si="13"/>
        <v>0</v>
      </c>
    </row>
    <row r="188" spans="1:4">
      <c r="A188" s="148" t="s">
        <v>431</v>
      </c>
      <c r="B188" s="160">
        <f>B189+B194</f>
        <v>211000</v>
      </c>
      <c r="C188" s="160"/>
      <c r="D188" s="160">
        <f t="shared" si="13"/>
        <v>211000</v>
      </c>
    </row>
    <row r="189" spans="1:4">
      <c r="A189" s="148" t="s">
        <v>130</v>
      </c>
      <c r="B189" s="160">
        <f>SUM(B190:B193)</f>
        <v>208000</v>
      </c>
      <c r="C189" s="160"/>
      <c r="D189" s="160">
        <f t="shared" si="13"/>
        <v>208000</v>
      </c>
    </row>
    <row r="190" spans="1:4">
      <c r="A190" s="149" t="s">
        <v>179</v>
      </c>
      <c r="B190" s="162">
        <v>7000</v>
      </c>
      <c r="C190" s="162"/>
      <c r="D190" s="162">
        <f t="shared" si="13"/>
        <v>7000</v>
      </c>
    </row>
    <row r="191" spans="1:4">
      <c r="A191" s="151" t="s">
        <v>174</v>
      </c>
      <c r="B191" s="161">
        <v>200</v>
      </c>
      <c r="C191" s="162"/>
      <c r="D191" s="161">
        <f t="shared" si="13"/>
        <v>200</v>
      </c>
    </row>
    <row r="192" spans="1:4">
      <c r="A192" s="151" t="s">
        <v>413</v>
      </c>
      <c r="B192" s="161">
        <v>182800</v>
      </c>
      <c r="C192" s="162"/>
      <c r="D192" s="161">
        <f t="shared" si="13"/>
        <v>182800</v>
      </c>
    </row>
    <row r="193" spans="1:4" ht="25.5">
      <c r="A193" s="151" t="s">
        <v>185</v>
      </c>
      <c r="B193" s="161">
        <v>18000</v>
      </c>
      <c r="C193" s="162"/>
      <c r="D193" s="161">
        <f t="shared" si="13"/>
        <v>18000</v>
      </c>
    </row>
    <row r="194" spans="1:4">
      <c r="A194" s="148" t="s">
        <v>126</v>
      </c>
      <c r="B194" s="160">
        <f>B195</f>
        <v>3000</v>
      </c>
      <c r="C194" s="160"/>
      <c r="D194" s="160">
        <f t="shared" si="13"/>
        <v>3000</v>
      </c>
    </row>
    <row r="195" spans="1:4">
      <c r="A195" s="149" t="s">
        <v>169</v>
      </c>
      <c r="B195" s="162">
        <v>3000</v>
      </c>
      <c r="C195" s="162"/>
      <c r="D195" s="162">
        <f t="shared" si="13"/>
        <v>3000</v>
      </c>
    </row>
    <row r="196" spans="1:4">
      <c r="A196" s="151"/>
      <c r="B196" s="161"/>
      <c r="C196" s="162"/>
      <c r="D196" s="161">
        <f t="shared" si="13"/>
        <v>0</v>
      </c>
    </row>
    <row r="197" spans="1:4">
      <c r="A197" s="148" t="s">
        <v>432</v>
      </c>
      <c r="B197" s="160">
        <f>B198+B203</f>
        <v>207000</v>
      </c>
      <c r="C197" s="160">
        <f>C198+C203</f>
        <v>5000</v>
      </c>
      <c r="D197" s="160">
        <f t="shared" si="13"/>
        <v>212000</v>
      </c>
    </row>
    <row r="198" spans="1:4">
      <c r="A198" s="148" t="s">
        <v>130</v>
      </c>
      <c r="B198" s="160">
        <f>SUM(B199:B202)</f>
        <v>140200</v>
      </c>
      <c r="C198" s="160">
        <f>SUM(C199:C202)</f>
        <v>5000</v>
      </c>
      <c r="D198" s="160">
        <f t="shared" si="13"/>
        <v>145200</v>
      </c>
    </row>
    <row r="199" spans="1:4">
      <c r="A199" s="149" t="s">
        <v>183</v>
      </c>
      <c r="B199" s="162">
        <v>16000</v>
      </c>
      <c r="C199" s="162"/>
      <c r="D199" s="162">
        <f t="shared" si="13"/>
        <v>16000</v>
      </c>
    </row>
    <row r="200" spans="1:4">
      <c r="A200" s="149" t="s">
        <v>179</v>
      </c>
      <c r="B200" s="162">
        <v>33700</v>
      </c>
      <c r="C200" s="162"/>
      <c r="D200" s="162">
        <f t="shared" si="13"/>
        <v>33700</v>
      </c>
    </row>
    <row r="201" spans="1:4" ht="25.5">
      <c r="A201" s="151" t="s">
        <v>185</v>
      </c>
      <c r="B201" s="161">
        <v>90000</v>
      </c>
      <c r="C201" s="162">
        <v>5000</v>
      </c>
      <c r="D201" s="161">
        <f t="shared" si="13"/>
        <v>95000</v>
      </c>
    </row>
    <row r="202" spans="1:4" ht="25.5">
      <c r="A202" s="151" t="s">
        <v>178</v>
      </c>
      <c r="B202" s="161">
        <v>500</v>
      </c>
      <c r="C202" s="162"/>
      <c r="D202" s="161">
        <f t="shared" si="13"/>
        <v>500</v>
      </c>
    </row>
    <row r="203" spans="1:4">
      <c r="A203" s="148" t="s">
        <v>126</v>
      </c>
      <c r="B203" s="160">
        <f>SUM(B204:B205)</f>
        <v>66800</v>
      </c>
      <c r="C203" s="160"/>
      <c r="D203" s="160">
        <f t="shared" si="13"/>
        <v>66800</v>
      </c>
    </row>
    <row r="204" spans="1:4">
      <c r="A204" s="149" t="s">
        <v>169</v>
      </c>
      <c r="B204" s="162">
        <v>50800</v>
      </c>
      <c r="C204" s="162"/>
      <c r="D204" s="162">
        <f t="shared" si="13"/>
        <v>50800</v>
      </c>
    </row>
    <row r="205" spans="1:4">
      <c r="A205" s="149" t="s">
        <v>170</v>
      </c>
      <c r="B205" s="162">
        <v>16000</v>
      </c>
      <c r="C205" s="162"/>
      <c r="D205" s="162">
        <f t="shared" si="13"/>
        <v>16000</v>
      </c>
    </row>
    <row r="206" spans="1:4">
      <c r="A206" s="150"/>
      <c r="B206" s="159"/>
      <c r="C206" s="159"/>
      <c r="D206" s="159">
        <f t="shared" si="13"/>
        <v>0</v>
      </c>
    </row>
    <row r="207" spans="1:4">
      <c r="A207" s="150" t="s">
        <v>188</v>
      </c>
      <c r="B207" s="159">
        <f>B209+B218+B229+B241+B252+B263+B275+B282</f>
        <v>5703674</v>
      </c>
      <c r="C207" s="159">
        <f>C209+C218+C229+C241+C252+C263+C275+C282</f>
        <v>423572</v>
      </c>
      <c r="D207" s="159">
        <f t="shared" si="13"/>
        <v>6127246</v>
      </c>
    </row>
    <row r="208" spans="1:4">
      <c r="A208" s="150"/>
      <c r="B208" s="159"/>
      <c r="C208" s="159"/>
      <c r="D208" s="159">
        <f t="shared" si="13"/>
        <v>0</v>
      </c>
    </row>
    <row r="209" spans="1:4">
      <c r="A209" s="153" t="s">
        <v>379</v>
      </c>
      <c r="B209" s="163">
        <f>B210+B215</f>
        <v>39521</v>
      </c>
      <c r="C209" s="160">
        <f>C210+C215</f>
        <v>360500</v>
      </c>
      <c r="D209" s="163">
        <f t="shared" si="13"/>
        <v>400021</v>
      </c>
    </row>
    <row r="210" spans="1:4">
      <c r="A210" s="148" t="s">
        <v>131</v>
      </c>
      <c r="B210" s="160">
        <f>SUM(B211:B213)</f>
        <v>30800</v>
      </c>
      <c r="C210" s="160">
        <f>SUM(C211:C214)</f>
        <v>360500</v>
      </c>
      <c r="D210" s="160">
        <f t="shared" si="13"/>
        <v>391300</v>
      </c>
    </row>
    <row r="211" spans="1:4">
      <c r="A211" s="151" t="s">
        <v>174</v>
      </c>
      <c r="B211" s="161">
        <v>19800</v>
      </c>
      <c r="C211" s="162"/>
      <c r="D211" s="161">
        <f t="shared" si="13"/>
        <v>19800</v>
      </c>
    </row>
    <row r="212" spans="1:4">
      <c r="A212" s="151" t="s">
        <v>181</v>
      </c>
      <c r="B212" s="161">
        <v>10000</v>
      </c>
      <c r="C212" s="162"/>
      <c r="D212" s="161">
        <f t="shared" si="13"/>
        <v>10000</v>
      </c>
    </row>
    <row r="213" spans="1:4">
      <c r="A213" s="151" t="s">
        <v>380</v>
      </c>
      <c r="B213" s="161">
        <v>1000</v>
      </c>
      <c r="C213" s="162"/>
      <c r="D213" s="161">
        <f t="shared" si="13"/>
        <v>1000</v>
      </c>
    </row>
    <row r="214" spans="1:4" ht="25.5">
      <c r="A214" s="151" t="s">
        <v>912</v>
      </c>
      <c r="B214" s="161"/>
      <c r="C214" s="160">
        <v>360500</v>
      </c>
      <c r="D214" s="161">
        <f t="shared" si="13"/>
        <v>360500</v>
      </c>
    </row>
    <row r="215" spans="1:4">
      <c r="A215" s="148" t="s">
        <v>126</v>
      </c>
      <c r="B215" s="160">
        <f>B216</f>
        <v>8721</v>
      </c>
      <c r="C215" s="160"/>
      <c r="D215" s="160">
        <f t="shared" si="13"/>
        <v>8721</v>
      </c>
    </row>
    <row r="216" spans="1:4">
      <c r="A216" s="149" t="s">
        <v>169</v>
      </c>
      <c r="B216" s="162">
        <v>8721</v>
      </c>
      <c r="C216" s="162"/>
      <c r="D216" s="162">
        <f t="shared" si="13"/>
        <v>8721</v>
      </c>
    </row>
    <row r="217" spans="1:4">
      <c r="A217" s="149"/>
      <c r="B217" s="162"/>
      <c r="C217" s="162"/>
      <c r="D217" s="162">
        <f t="shared" si="13"/>
        <v>0</v>
      </c>
    </row>
    <row r="218" spans="1:4">
      <c r="A218" s="148" t="s">
        <v>381</v>
      </c>
      <c r="B218" s="160">
        <f>B219+B223+B226</f>
        <v>1420088</v>
      </c>
      <c r="C218" s="160">
        <f t="shared" ref="C218" si="15">C219+C223+C226</f>
        <v>60742</v>
      </c>
      <c r="D218" s="160">
        <f t="shared" si="13"/>
        <v>1480830</v>
      </c>
    </row>
    <row r="219" spans="1:4">
      <c r="A219" s="148" t="s">
        <v>131</v>
      </c>
      <c r="B219" s="160">
        <f>SUM(B220:B222)</f>
        <v>409000</v>
      </c>
      <c r="C219" s="160">
        <f t="shared" ref="C219" si="16">SUM(C220:C222)</f>
        <v>46750</v>
      </c>
      <c r="D219" s="160">
        <f t="shared" si="13"/>
        <v>455750</v>
      </c>
    </row>
    <row r="220" spans="1:4">
      <c r="A220" s="149" t="s">
        <v>189</v>
      </c>
      <c r="B220" s="162">
        <v>300000</v>
      </c>
      <c r="C220" s="162">
        <v>20500</v>
      </c>
      <c r="D220" s="162">
        <f t="shared" si="13"/>
        <v>320500</v>
      </c>
    </row>
    <row r="221" spans="1:4">
      <c r="A221" s="149" t="s">
        <v>382</v>
      </c>
      <c r="B221" s="162">
        <v>41000</v>
      </c>
      <c r="C221" s="162">
        <v>5000</v>
      </c>
      <c r="D221" s="162">
        <f t="shared" si="13"/>
        <v>46000</v>
      </c>
    </row>
    <row r="222" spans="1:4">
      <c r="A222" s="149" t="s">
        <v>380</v>
      </c>
      <c r="B222" s="162">
        <v>68000</v>
      </c>
      <c r="C222" s="162">
        <v>21250</v>
      </c>
      <c r="D222" s="162">
        <f t="shared" si="13"/>
        <v>89250</v>
      </c>
    </row>
    <row r="223" spans="1:4">
      <c r="A223" s="148" t="s">
        <v>126</v>
      </c>
      <c r="B223" s="160">
        <f>B224+B225</f>
        <v>1008288</v>
      </c>
      <c r="C223" s="160">
        <f t="shared" ref="C223" si="17">C224+C225</f>
        <v>15092</v>
      </c>
      <c r="D223" s="160">
        <f t="shared" si="13"/>
        <v>1023380</v>
      </c>
    </row>
    <row r="224" spans="1:4">
      <c r="A224" s="149" t="s">
        <v>169</v>
      </c>
      <c r="B224" s="162">
        <v>998768</v>
      </c>
      <c r="C224" s="162">
        <v>14792</v>
      </c>
      <c r="D224" s="162">
        <f t="shared" si="13"/>
        <v>1013560</v>
      </c>
    </row>
    <row r="225" spans="1:4">
      <c r="A225" s="149" t="s">
        <v>170</v>
      </c>
      <c r="B225" s="162">
        <v>9520</v>
      </c>
      <c r="C225" s="162">
        <v>300</v>
      </c>
      <c r="D225" s="162">
        <f t="shared" si="13"/>
        <v>9820</v>
      </c>
    </row>
    <row r="226" spans="1:4">
      <c r="A226" s="148" t="s">
        <v>127</v>
      </c>
      <c r="B226" s="160">
        <f>B227</f>
        <v>2800</v>
      </c>
      <c r="C226" s="160">
        <f t="shared" ref="C226" si="18">C227</f>
        <v>-1100</v>
      </c>
      <c r="D226" s="160">
        <f t="shared" si="13"/>
        <v>1700</v>
      </c>
    </row>
    <row r="227" spans="1:4">
      <c r="A227" s="151" t="s">
        <v>187</v>
      </c>
      <c r="B227" s="161">
        <v>2800</v>
      </c>
      <c r="C227" s="162">
        <v>-1100</v>
      </c>
      <c r="D227" s="161">
        <f t="shared" si="13"/>
        <v>1700</v>
      </c>
    </row>
    <row r="228" spans="1:4">
      <c r="A228" s="148"/>
      <c r="B228" s="160"/>
      <c r="C228" s="160"/>
      <c r="D228" s="160">
        <f t="shared" si="13"/>
        <v>0</v>
      </c>
    </row>
    <row r="229" spans="1:4">
      <c r="A229" s="148" t="s">
        <v>383</v>
      </c>
      <c r="B229" s="160">
        <f>B230+B234+B238</f>
        <v>1559900</v>
      </c>
      <c r="C229" s="160">
        <f t="shared" ref="C229" si="19">C230+C234+C238</f>
        <v>75685</v>
      </c>
      <c r="D229" s="160">
        <f t="shared" si="13"/>
        <v>1635585</v>
      </c>
    </row>
    <row r="230" spans="1:4">
      <c r="A230" s="148" t="s">
        <v>131</v>
      </c>
      <c r="B230" s="160">
        <f>SUM(B231:B233)</f>
        <v>1338860</v>
      </c>
      <c r="C230" s="160">
        <f t="shared" ref="C230" si="20">SUM(C231:C233)</f>
        <v>105300</v>
      </c>
      <c r="D230" s="160">
        <f t="shared" si="13"/>
        <v>1444160</v>
      </c>
    </row>
    <row r="231" spans="1:4">
      <c r="A231" s="149" t="s">
        <v>189</v>
      </c>
      <c r="B231" s="162">
        <v>1268860</v>
      </c>
      <c r="C231" s="162">
        <v>100000</v>
      </c>
      <c r="D231" s="162">
        <f t="shared" si="13"/>
        <v>1368860</v>
      </c>
    </row>
    <row r="232" spans="1:4">
      <c r="A232" s="149" t="s">
        <v>382</v>
      </c>
      <c r="B232" s="162">
        <v>53330</v>
      </c>
      <c r="C232" s="162"/>
      <c r="D232" s="162">
        <f t="shared" si="13"/>
        <v>53330</v>
      </c>
    </row>
    <row r="233" spans="1:4">
      <c r="A233" s="149" t="s">
        <v>380</v>
      </c>
      <c r="B233" s="162">
        <v>16670</v>
      </c>
      <c r="C233" s="162">
        <v>5300</v>
      </c>
      <c r="D233" s="162">
        <f t="shared" si="13"/>
        <v>21970</v>
      </c>
    </row>
    <row r="234" spans="1:4">
      <c r="A234" s="148" t="s">
        <v>126</v>
      </c>
      <c r="B234" s="160">
        <f>SUM(B235:B237)</f>
        <v>216040</v>
      </c>
      <c r="C234" s="160">
        <f t="shared" ref="C234" si="21">SUM(C235:C237)</f>
        <v>-33115</v>
      </c>
      <c r="D234" s="160">
        <f t="shared" si="13"/>
        <v>182925</v>
      </c>
    </row>
    <row r="235" spans="1:4">
      <c r="A235" s="149" t="s">
        <v>169</v>
      </c>
      <c r="B235" s="162">
        <v>110490</v>
      </c>
      <c r="C235" s="162">
        <v>-4580</v>
      </c>
      <c r="D235" s="162">
        <f t="shared" si="13"/>
        <v>105910</v>
      </c>
    </row>
    <row r="236" spans="1:4">
      <c r="A236" s="149" t="s">
        <v>170</v>
      </c>
      <c r="B236" s="162">
        <v>105500</v>
      </c>
      <c r="C236" s="162">
        <v>-28500</v>
      </c>
      <c r="D236" s="162">
        <f t="shared" si="13"/>
        <v>77000</v>
      </c>
    </row>
    <row r="237" spans="1:4">
      <c r="A237" s="149" t="s">
        <v>393</v>
      </c>
      <c r="B237" s="162">
        <v>50</v>
      </c>
      <c r="C237" s="162">
        <v>-35</v>
      </c>
      <c r="D237" s="162">
        <f t="shared" si="13"/>
        <v>15</v>
      </c>
    </row>
    <row r="238" spans="1:4">
      <c r="A238" s="148" t="s">
        <v>127</v>
      </c>
      <c r="B238" s="160">
        <f>B239</f>
        <v>5000</v>
      </c>
      <c r="C238" s="160">
        <f t="shared" ref="C238" si="22">C239</f>
        <v>3500</v>
      </c>
      <c r="D238" s="160">
        <f t="shared" si="13"/>
        <v>8500</v>
      </c>
    </row>
    <row r="239" spans="1:4">
      <c r="A239" s="151" t="s">
        <v>187</v>
      </c>
      <c r="B239" s="161">
        <v>5000</v>
      </c>
      <c r="C239" s="162">
        <v>3500</v>
      </c>
      <c r="D239" s="161">
        <f t="shared" si="13"/>
        <v>8500</v>
      </c>
    </row>
    <row r="240" spans="1:4">
      <c r="A240" s="148"/>
      <c r="B240" s="160"/>
      <c r="C240" s="160"/>
      <c r="D240" s="160">
        <f t="shared" si="13"/>
        <v>0</v>
      </c>
    </row>
    <row r="241" spans="1:4">
      <c r="A241" s="148" t="s">
        <v>384</v>
      </c>
      <c r="B241" s="160">
        <f>B242+B246+B249</f>
        <v>92330</v>
      </c>
      <c r="C241" s="160">
        <f t="shared" ref="C241" si="23">C242+C246+C249</f>
        <v>280</v>
      </c>
      <c r="D241" s="160">
        <f t="shared" si="13"/>
        <v>92610</v>
      </c>
    </row>
    <row r="242" spans="1:4">
      <c r="A242" s="148" t="s">
        <v>131</v>
      </c>
      <c r="B242" s="160">
        <f>SUM(B243:B245)</f>
        <v>79489</v>
      </c>
      <c r="C242" s="160">
        <f t="shared" ref="C242" si="24">SUM(C243:C245)</f>
        <v>0</v>
      </c>
      <c r="D242" s="160">
        <f t="shared" si="13"/>
        <v>79489</v>
      </c>
    </row>
    <row r="243" spans="1:4">
      <c r="A243" s="149" t="s">
        <v>189</v>
      </c>
      <c r="B243" s="162">
        <v>74230</v>
      </c>
      <c r="C243" s="162"/>
      <c r="D243" s="162">
        <f t="shared" ref="D243:D301" si="25">B243+C243</f>
        <v>74230</v>
      </c>
    </row>
    <row r="244" spans="1:4">
      <c r="A244" s="149" t="s">
        <v>382</v>
      </c>
      <c r="B244" s="162">
        <v>570</v>
      </c>
      <c r="C244" s="162"/>
      <c r="D244" s="162">
        <f t="shared" si="25"/>
        <v>570</v>
      </c>
    </row>
    <row r="245" spans="1:4">
      <c r="A245" s="149" t="s">
        <v>380</v>
      </c>
      <c r="B245" s="162">
        <v>4689</v>
      </c>
      <c r="C245" s="162"/>
      <c r="D245" s="162">
        <f t="shared" si="25"/>
        <v>4689</v>
      </c>
    </row>
    <row r="246" spans="1:4">
      <c r="A246" s="148" t="s">
        <v>134</v>
      </c>
      <c r="B246" s="160">
        <f>B247+B248</f>
        <v>1279</v>
      </c>
      <c r="C246" s="160">
        <f t="shared" ref="C246" si="26">C247+C248</f>
        <v>0</v>
      </c>
      <c r="D246" s="160">
        <f t="shared" si="25"/>
        <v>1279</v>
      </c>
    </row>
    <row r="247" spans="1:4">
      <c r="A247" s="149" t="s">
        <v>190</v>
      </c>
      <c r="B247" s="162">
        <v>474</v>
      </c>
      <c r="C247" s="162"/>
      <c r="D247" s="162">
        <f t="shared" si="25"/>
        <v>474</v>
      </c>
    </row>
    <row r="248" spans="1:4">
      <c r="A248" s="149" t="s">
        <v>170</v>
      </c>
      <c r="B248" s="162">
        <v>805</v>
      </c>
      <c r="C248" s="162"/>
      <c r="D248" s="162">
        <f t="shared" si="25"/>
        <v>805</v>
      </c>
    </row>
    <row r="249" spans="1:4">
      <c r="A249" s="148" t="s">
        <v>126</v>
      </c>
      <c r="B249" s="160">
        <f>B250</f>
        <v>11562</v>
      </c>
      <c r="C249" s="160">
        <f t="shared" ref="C249" si="27">C250</f>
        <v>280</v>
      </c>
      <c r="D249" s="160">
        <f t="shared" si="25"/>
        <v>11842</v>
      </c>
    </row>
    <row r="250" spans="1:4">
      <c r="A250" s="149" t="s">
        <v>169</v>
      </c>
      <c r="B250" s="162">
        <v>11562</v>
      </c>
      <c r="C250" s="162">
        <v>280</v>
      </c>
      <c r="D250" s="162">
        <f t="shared" si="25"/>
        <v>11842</v>
      </c>
    </row>
    <row r="251" spans="1:4">
      <c r="A251" s="342"/>
      <c r="B251" s="345"/>
      <c r="C251" s="345"/>
      <c r="D251" s="345">
        <f t="shared" si="25"/>
        <v>0</v>
      </c>
    </row>
    <row r="252" spans="1:4">
      <c r="A252" s="153" t="s">
        <v>385</v>
      </c>
      <c r="B252" s="163">
        <f>B253+B257+B260</f>
        <v>1076445</v>
      </c>
      <c r="C252" s="160">
        <f t="shared" ref="C252" si="28">C253+C257+C260</f>
        <v>-62000</v>
      </c>
      <c r="D252" s="163">
        <f t="shared" si="25"/>
        <v>1014445</v>
      </c>
    </row>
    <row r="253" spans="1:4">
      <c r="A253" s="148" t="s">
        <v>131</v>
      </c>
      <c r="B253" s="160">
        <f>SUM(B254:B256)</f>
        <v>989190</v>
      </c>
      <c r="C253" s="160">
        <f t="shared" ref="C253" si="29">SUM(C254:C256)</f>
        <v>-53000</v>
      </c>
      <c r="D253" s="160">
        <f t="shared" si="25"/>
        <v>936190</v>
      </c>
    </row>
    <row r="254" spans="1:4">
      <c r="A254" s="149" t="s">
        <v>189</v>
      </c>
      <c r="B254" s="162">
        <v>978640</v>
      </c>
      <c r="C254" s="162">
        <v>-53000</v>
      </c>
      <c r="D254" s="162">
        <f t="shared" si="25"/>
        <v>925640</v>
      </c>
    </row>
    <row r="255" spans="1:4">
      <c r="A255" s="149" t="s">
        <v>382</v>
      </c>
      <c r="B255" s="162">
        <v>9300</v>
      </c>
      <c r="C255" s="162"/>
      <c r="D255" s="162">
        <f t="shared" si="25"/>
        <v>9300</v>
      </c>
    </row>
    <row r="256" spans="1:4">
      <c r="A256" s="149" t="s">
        <v>380</v>
      </c>
      <c r="B256" s="162">
        <v>1250</v>
      </c>
      <c r="C256" s="162"/>
      <c r="D256" s="162">
        <f t="shared" si="25"/>
        <v>1250</v>
      </c>
    </row>
    <row r="257" spans="1:4">
      <c r="A257" s="148" t="s">
        <v>126</v>
      </c>
      <c r="B257" s="160">
        <f>B258+B259</f>
        <v>83255</v>
      </c>
      <c r="C257" s="160">
        <f t="shared" ref="C257" si="30">C258+C259</f>
        <v>-9000</v>
      </c>
      <c r="D257" s="160">
        <f t="shared" si="25"/>
        <v>74255</v>
      </c>
    </row>
    <row r="258" spans="1:4">
      <c r="A258" s="149" t="s">
        <v>169</v>
      </c>
      <c r="B258" s="162">
        <v>64850</v>
      </c>
      <c r="C258" s="162">
        <v>-9000</v>
      </c>
      <c r="D258" s="162">
        <f t="shared" si="25"/>
        <v>55850</v>
      </c>
    </row>
    <row r="259" spans="1:4">
      <c r="A259" s="149" t="s">
        <v>170</v>
      </c>
      <c r="B259" s="162">
        <v>18405</v>
      </c>
      <c r="C259" s="162"/>
      <c r="D259" s="162">
        <f t="shared" si="25"/>
        <v>18405</v>
      </c>
    </row>
    <row r="260" spans="1:4">
      <c r="A260" s="343" t="s">
        <v>127</v>
      </c>
      <c r="B260" s="346">
        <f>B261</f>
        <v>4000</v>
      </c>
      <c r="C260" s="346">
        <f t="shared" ref="C260" si="31">C261</f>
        <v>0</v>
      </c>
      <c r="D260" s="346">
        <f t="shared" si="25"/>
        <v>4000</v>
      </c>
    </row>
    <row r="261" spans="1:4">
      <c r="A261" s="151" t="s">
        <v>187</v>
      </c>
      <c r="B261" s="161">
        <v>4000</v>
      </c>
      <c r="C261" s="162"/>
      <c r="D261" s="161">
        <f t="shared" si="25"/>
        <v>4000</v>
      </c>
    </row>
    <row r="262" spans="1:4">
      <c r="A262" s="149"/>
      <c r="B262" s="162"/>
      <c r="C262" s="162"/>
      <c r="D262" s="162">
        <f t="shared" si="25"/>
        <v>0</v>
      </c>
    </row>
    <row r="263" spans="1:4">
      <c r="A263" s="148" t="s">
        <v>386</v>
      </c>
      <c r="B263" s="160">
        <f>B264+B268+B271</f>
        <v>218530</v>
      </c>
      <c r="C263" s="160">
        <f t="shared" ref="C263" si="32">C264+C268+C271</f>
        <v>40000</v>
      </c>
      <c r="D263" s="160">
        <f t="shared" si="25"/>
        <v>258530</v>
      </c>
    </row>
    <row r="264" spans="1:4">
      <c r="A264" s="148" t="s">
        <v>131</v>
      </c>
      <c r="B264" s="160">
        <f>SUM(B265:B267)</f>
        <v>146100</v>
      </c>
      <c r="C264" s="160">
        <f t="shared" ref="C264" si="33">SUM(C265:C267)</f>
        <v>41355</v>
      </c>
      <c r="D264" s="160">
        <f t="shared" si="25"/>
        <v>187455</v>
      </c>
    </row>
    <row r="265" spans="1:4">
      <c r="A265" s="149" t="s">
        <v>189</v>
      </c>
      <c r="B265" s="162">
        <v>70600</v>
      </c>
      <c r="C265" s="162">
        <v>3600</v>
      </c>
      <c r="D265" s="162">
        <f t="shared" si="25"/>
        <v>74200</v>
      </c>
    </row>
    <row r="266" spans="1:4">
      <c r="A266" s="149" t="s">
        <v>382</v>
      </c>
      <c r="B266" s="162">
        <v>4500</v>
      </c>
      <c r="C266" s="162">
        <v>-600</v>
      </c>
      <c r="D266" s="162">
        <f t="shared" si="25"/>
        <v>3900</v>
      </c>
    </row>
    <row r="267" spans="1:4">
      <c r="A267" s="149" t="s">
        <v>380</v>
      </c>
      <c r="B267" s="162">
        <v>71000</v>
      </c>
      <c r="C267" s="162">
        <v>38355</v>
      </c>
      <c r="D267" s="162">
        <f t="shared" si="25"/>
        <v>109355</v>
      </c>
    </row>
    <row r="268" spans="1:4">
      <c r="A268" s="148" t="s">
        <v>126</v>
      </c>
      <c r="B268" s="160">
        <f>B269+B270</f>
        <v>69730</v>
      </c>
      <c r="C268" s="160">
        <f t="shared" ref="C268" si="34">C269+C270</f>
        <v>-1255</v>
      </c>
      <c r="D268" s="160">
        <f t="shared" si="25"/>
        <v>68475</v>
      </c>
    </row>
    <row r="269" spans="1:4">
      <c r="A269" s="149" t="s">
        <v>169</v>
      </c>
      <c r="B269" s="162">
        <v>55870</v>
      </c>
      <c r="C269" s="162">
        <v>-1545</v>
      </c>
      <c r="D269" s="162">
        <f t="shared" si="25"/>
        <v>54325</v>
      </c>
    </row>
    <row r="270" spans="1:4">
      <c r="A270" s="149" t="s">
        <v>170</v>
      </c>
      <c r="B270" s="162">
        <v>13860</v>
      </c>
      <c r="C270" s="162">
        <v>290</v>
      </c>
      <c r="D270" s="162">
        <f t="shared" si="25"/>
        <v>14150</v>
      </c>
    </row>
    <row r="271" spans="1:4">
      <c r="A271" s="148" t="s">
        <v>127</v>
      </c>
      <c r="B271" s="160">
        <f>B272+B273</f>
        <v>2700</v>
      </c>
      <c r="C271" s="160">
        <f t="shared" ref="C271" si="35">C272+C273</f>
        <v>-100</v>
      </c>
      <c r="D271" s="160">
        <f t="shared" si="25"/>
        <v>2600</v>
      </c>
    </row>
    <row r="272" spans="1:4">
      <c r="A272" s="151" t="s">
        <v>187</v>
      </c>
      <c r="B272" s="161">
        <v>2000</v>
      </c>
      <c r="C272" s="162">
        <v>-200</v>
      </c>
      <c r="D272" s="161">
        <f t="shared" si="25"/>
        <v>1800</v>
      </c>
    </row>
    <row r="273" spans="1:4">
      <c r="A273" s="149" t="s">
        <v>387</v>
      </c>
      <c r="B273" s="162">
        <v>700</v>
      </c>
      <c r="C273" s="162">
        <v>100</v>
      </c>
      <c r="D273" s="162">
        <f t="shared" si="25"/>
        <v>800</v>
      </c>
    </row>
    <row r="274" spans="1:4">
      <c r="A274" s="149"/>
      <c r="B274" s="162"/>
      <c r="C274" s="162"/>
      <c r="D274" s="162">
        <f t="shared" si="25"/>
        <v>0</v>
      </c>
    </row>
    <row r="275" spans="1:4">
      <c r="A275" s="343" t="s">
        <v>388</v>
      </c>
      <c r="B275" s="346">
        <f>B276+B279</f>
        <v>56545</v>
      </c>
      <c r="C275" s="346">
        <f t="shared" ref="C275" si="36">C276+C279</f>
        <v>-51635</v>
      </c>
      <c r="D275" s="346">
        <f t="shared" si="25"/>
        <v>4910</v>
      </c>
    </row>
    <row r="276" spans="1:4">
      <c r="A276" s="148" t="s">
        <v>131</v>
      </c>
      <c r="B276" s="160">
        <f>B277+B278</f>
        <v>51635</v>
      </c>
      <c r="C276" s="160">
        <f t="shared" ref="C276" si="37">C277+C278</f>
        <v>-51635</v>
      </c>
      <c r="D276" s="160">
        <f t="shared" si="25"/>
        <v>0</v>
      </c>
    </row>
    <row r="277" spans="1:4">
      <c r="A277" s="344" t="s">
        <v>389</v>
      </c>
      <c r="B277" s="347">
        <v>29060</v>
      </c>
      <c r="C277" s="347">
        <v>-29060</v>
      </c>
      <c r="D277" s="347">
        <f t="shared" si="25"/>
        <v>0</v>
      </c>
    </row>
    <row r="278" spans="1:4">
      <c r="A278" s="149" t="s">
        <v>390</v>
      </c>
      <c r="B278" s="162">
        <v>22575</v>
      </c>
      <c r="C278" s="162">
        <v>-22575</v>
      </c>
      <c r="D278" s="162">
        <f t="shared" si="25"/>
        <v>0</v>
      </c>
    </row>
    <row r="279" spans="1:4">
      <c r="A279" s="148" t="s">
        <v>126</v>
      </c>
      <c r="B279" s="160">
        <f>B280</f>
        <v>4910</v>
      </c>
      <c r="C279" s="160">
        <f t="shared" ref="C279" si="38">C280</f>
        <v>0</v>
      </c>
      <c r="D279" s="160">
        <f t="shared" si="25"/>
        <v>4910</v>
      </c>
    </row>
    <row r="280" spans="1:4">
      <c r="A280" s="149" t="s">
        <v>391</v>
      </c>
      <c r="B280" s="162">
        <v>4910</v>
      </c>
      <c r="C280" s="162"/>
      <c r="D280" s="162">
        <f t="shared" si="25"/>
        <v>4910</v>
      </c>
    </row>
    <row r="281" spans="1:4">
      <c r="A281" s="149"/>
      <c r="B281" s="162"/>
      <c r="C281" s="162"/>
      <c r="D281" s="162">
        <f t="shared" si="25"/>
        <v>0</v>
      </c>
    </row>
    <row r="282" spans="1:4">
      <c r="A282" s="148" t="s">
        <v>392</v>
      </c>
      <c r="B282" s="160">
        <f>B283+B287+B291</f>
        <v>1240315</v>
      </c>
      <c r="C282" s="160">
        <f t="shared" ref="C282" si="39">C283+C287+C291</f>
        <v>0</v>
      </c>
      <c r="D282" s="160">
        <f t="shared" si="25"/>
        <v>1240315</v>
      </c>
    </row>
    <row r="283" spans="1:4">
      <c r="A283" s="148" t="s">
        <v>131</v>
      </c>
      <c r="B283" s="160">
        <f>SUM(B284:B286)</f>
        <v>1137425</v>
      </c>
      <c r="C283" s="160">
        <f t="shared" ref="C283" si="40">SUM(C284:C286)</f>
        <v>14990</v>
      </c>
      <c r="D283" s="160">
        <f t="shared" si="25"/>
        <v>1152415</v>
      </c>
    </row>
    <row r="284" spans="1:4">
      <c r="A284" s="149" t="s">
        <v>189</v>
      </c>
      <c r="B284" s="162">
        <v>822835</v>
      </c>
      <c r="C284" s="162"/>
      <c r="D284" s="162">
        <f t="shared" si="25"/>
        <v>822835</v>
      </c>
    </row>
    <row r="285" spans="1:4">
      <c r="A285" s="149" t="s">
        <v>382</v>
      </c>
      <c r="B285" s="162">
        <v>230030</v>
      </c>
      <c r="C285" s="162">
        <v>14990</v>
      </c>
      <c r="D285" s="162">
        <f t="shared" si="25"/>
        <v>245020</v>
      </c>
    </row>
    <row r="286" spans="1:4">
      <c r="A286" s="149" t="s">
        <v>380</v>
      </c>
      <c r="B286" s="162">
        <v>84560</v>
      </c>
      <c r="C286" s="162"/>
      <c r="D286" s="162">
        <f t="shared" si="25"/>
        <v>84560</v>
      </c>
    </row>
    <row r="287" spans="1:4">
      <c r="A287" s="148" t="s">
        <v>126</v>
      </c>
      <c r="B287" s="160">
        <f>SUM(B288:B290)</f>
        <v>78490</v>
      </c>
      <c r="C287" s="160">
        <f t="shared" ref="C287" si="41">SUM(C288:C290)</f>
        <v>0</v>
      </c>
      <c r="D287" s="160">
        <f t="shared" si="25"/>
        <v>78490</v>
      </c>
    </row>
    <row r="288" spans="1:4">
      <c r="A288" s="149" t="s">
        <v>169</v>
      </c>
      <c r="B288" s="162">
        <v>60390</v>
      </c>
      <c r="C288" s="162"/>
      <c r="D288" s="162">
        <f t="shared" si="25"/>
        <v>60390</v>
      </c>
    </row>
    <row r="289" spans="1:4">
      <c r="A289" s="149" t="s">
        <v>170</v>
      </c>
      <c r="B289" s="162">
        <v>17800</v>
      </c>
      <c r="C289" s="162"/>
      <c r="D289" s="162">
        <f t="shared" si="25"/>
        <v>17800</v>
      </c>
    </row>
    <row r="290" spans="1:4">
      <c r="A290" s="149" t="s">
        <v>393</v>
      </c>
      <c r="B290" s="162">
        <v>300</v>
      </c>
      <c r="C290" s="162"/>
      <c r="D290" s="162">
        <f t="shared" si="25"/>
        <v>300</v>
      </c>
    </row>
    <row r="291" spans="1:4">
      <c r="A291" s="148" t="s">
        <v>127</v>
      </c>
      <c r="B291" s="160">
        <f>B292+B293</f>
        <v>24400</v>
      </c>
      <c r="C291" s="160">
        <f t="shared" ref="C291" si="42">C292+C293</f>
        <v>-14990</v>
      </c>
      <c r="D291" s="160">
        <f t="shared" si="25"/>
        <v>9410</v>
      </c>
    </row>
    <row r="292" spans="1:4">
      <c r="A292" s="151" t="s">
        <v>187</v>
      </c>
      <c r="B292" s="161">
        <v>14400</v>
      </c>
      <c r="C292" s="162">
        <v>-5000</v>
      </c>
      <c r="D292" s="161">
        <f t="shared" si="25"/>
        <v>9400</v>
      </c>
    </row>
    <row r="293" spans="1:4">
      <c r="A293" s="344" t="s">
        <v>387</v>
      </c>
      <c r="B293" s="347">
        <v>10000</v>
      </c>
      <c r="C293" s="347">
        <v>-9990</v>
      </c>
      <c r="D293" s="347">
        <f t="shared" si="25"/>
        <v>10</v>
      </c>
    </row>
    <row r="294" spans="1:4">
      <c r="A294" s="151"/>
      <c r="B294" s="161"/>
      <c r="C294" s="162"/>
      <c r="D294" s="161">
        <f t="shared" si="25"/>
        <v>0</v>
      </c>
    </row>
    <row r="295" spans="1:4">
      <c r="A295" s="150" t="s">
        <v>191</v>
      </c>
      <c r="B295" s="159">
        <f>B297+B303+B314+B322+B332+B344+B359+B365</f>
        <v>13240778</v>
      </c>
      <c r="C295" s="159">
        <f>C297+C303+C314+C322+C332+C344+C359+C365+C369</f>
        <v>1097767</v>
      </c>
      <c r="D295" s="159">
        <f t="shared" si="25"/>
        <v>14338545</v>
      </c>
    </row>
    <row r="296" spans="1:4">
      <c r="A296" s="148"/>
      <c r="B296" s="160"/>
      <c r="C296" s="160"/>
      <c r="D296" s="160">
        <f t="shared" si="25"/>
        <v>0</v>
      </c>
    </row>
    <row r="297" spans="1:4">
      <c r="A297" s="148" t="s">
        <v>192</v>
      </c>
      <c r="B297" s="160">
        <f>B298</f>
        <v>66408</v>
      </c>
      <c r="C297" s="160"/>
      <c r="D297" s="160">
        <f t="shared" si="25"/>
        <v>66408</v>
      </c>
    </row>
    <row r="298" spans="1:4">
      <c r="A298" s="148" t="s">
        <v>126</v>
      </c>
      <c r="B298" s="160">
        <f>B299+B300+B301</f>
        <v>66408</v>
      </c>
      <c r="C298" s="160"/>
      <c r="D298" s="160">
        <f t="shared" si="25"/>
        <v>66408</v>
      </c>
    </row>
    <row r="299" spans="1:4">
      <c r="A299" s="149" t="s">
        <v>169</v>
      </c>
      <c r="B299" s="162">
        <v>55641</v>
      </c>
      <c r="C299" s="162"/>
      <c r="D299" s="162">
        <f t="shared" si="25"/>
        <v>55641</v>
      </c>
    </row>
    <row r="300" spans="1:4">
      <c r="A300" s="149" t="s">
        <v>170</v>
      </c>
      <c r="B300" s="162">
        <v>9857</v>
      </c>
      <c r="C300" s="162"/>
      <c r="D300" s="162">
        <f t="shared" si="25"/>
        <v>9857</v>
      </c>
    </row>
    <row r="301" spans="1:4">
      <c r="A301" s="149" t="s">
        <v>193</v>
      </c>
      <c r="B301" s="162">
        <v>910</v>
      </c>
      <c r="C301" s="162"/>
      <c r="D301" s="162">
        <f t="shared" si="25"/>
        <v>910</v>
      </c>
    </row>
    <row r="302" spans="1:4">
      <c r="A302" s="148"/>
      <c r="B302" s="160"/>
      <c r="C302" s="160"/>
      <c r="D302" s="160">
        <f t="shared" ref="D302:D359" si="43">B302+C302</f>
        <v>0</v>
      </c>
    </row>
    <row r="303" spans="1:4">
      <c r="A303" s="148" t="s">
        <v>789</v>
      </c>
      <c r="B303" s="160">
        <f>B304+B310</f>
        <v>306515</v>
      </c>
      <c r="C303" s="160">
        <f>C304+C310</f>
        <v>135805</v>
      </c>
      <c r="D303" s="160">
        <f t="shared" si="43"/>
        <v>442320</v>
      </c>
    </row>
    <row r="304" spans="1:4">
      <c r="A304" s="148" t="s">
        <v>136</v>
      </c>
      <c r="B304" s="160">
        <f>B307+B306+B305+B308+B309</f>
        <v>293500</v>
      </c>
      <c r="C304" s="160">
        <f>C307+C306+C305+C308+C309</f>
        <v>135035</v>
      </c>
      <c r="D304" s="160">
        <f t="shared" si="43"/>
        <v>428535</v>
      </c>
    </row>
    <row r="305" spans="1:4">
      <c r="A305" s="151" t="s">
        <v>196</v>
      </c>
      <c r="B305" s="161">
        <v>3500</v>
      </c>
      <c r="C305" s="162"/>
      <c r="D305" s="161">
        <f t="shared" si="43"/>
        <v>3500</v>
      </c>
    </row>
    <row r="306" spans="1:4">
      <c r="A306" s="151" t="s">
        <v>195</v>
      </c>
      <c r="B306" s="161">
        <v>40000</v>
      </c>
      <c r="C306" s="162"/>
      <c r="D306" s="161">
        <f t="shared" si="43"/>
        <v>40000</v>
      </c>
    </row>
    <row r="307" spans="1:4">
      <c r="A307" s="151" t="s">
        <v>194</v>
      </c>
      <c r="B307" s="161">
        <v>85000</v>
      </c>
      <c r="C307" s="162"/>
      <c r="D307" s="161">
        <f t="shared" si="43"/>
        <v>85000</v>
      </c>
    </row>
    <row r="308" spans="1:4">
      <c r="A308" s="151" t="s">
        <v>510</v>
      </c>
      <c r="B308" s="161">
        <v>60000</v>
      </c>
      <c r="C308" s="162">
        <v>10035</v>
      </c>
      <c r="D308" s="161">
        <f t="shared" si="43"/>
        <v>70035</v>
      </c>
    </row>
    <row r="309" spans="1:4" ht="25.5">
      <c r="A309" s="151" t="s">
        <v>511</v>
      </c>
      <c r="B309" s="161">
        <v>105000</v>
      </c>
      <c r="C309" s="162">
        <v>125000</v>
      </c>
      <c r="D309" s="161">
        <f t="shared" si="43"/>
        <v>230000</v>
      </c>
    </row>
    <row r="310" spans="1:4">
      <c r="A310" s="153" t="s">
        <v>126</v>
      </c>
      <c r="B310" s="163">
        <f>B312+B311</f>
        <v>13015</v>
      </c>
      <c r="C310" s="160">
        <f>C312+C311</f>
        <v>770</v>
      </c>
      <c r="D310" s="163">
        <f t="shared" si="43"/>
        <v>13785</v>
      </c>
    </row>
    <row r="311" spans="1:4">
      <c r="A311" s="151" t="s">
        <v>169</v>
      </c>
      <c r="B311" s="161">
        <v>2815</v>
      </c>
      <c r="C311" s="162">
        <v>770</v>
      </c>
      <c r="D311" s="161">
        <f t="shared" si="43"/>
        <v>3585</v>
      </c>
    </row>
    <row r="312" spans="1:4">
      <c r="A312" s="151" t="s">
        <v>170</v>
      </c>
      <c r="B312" s="161">
        <v>10200</v>
      </c>
      <c r="C312" s="162"/>
      <c r="D312" s="161">
        <f t="shared" si="43"/>
        <v>10200</v>
      </c>
    </row>
    <row r="313" spans="1:4">
      <c r="A313" s="151"/>
      <c r="B313" s="161"/>
      <c r="C313" s="162"/>
      <c r="D313" s="161">
        <f t="shared" si="43"/>
        <v>0</v>
      </c>
    </row>
    <row r="314" spans="1:4">
      <c r="A314" s="153" t="s">
        <v>197</v>
      </c>
      <c r="B314" s="163">
        <f>B315+B318</f>
        <v>304361</v>
      </c>
      <c r="C314" s="160">
        <f>C315+C318</f>
        <v>-2536</v>
      </c>
      <c r="D314" s="163">
        <f t="shared" si="43"/>
        <v>301825</v>
      </c>
    </row>
    <row r="315" spans="1:4">
      <c r="A315" s="148" t="s">
        <v>136</v>
      </c>
      <c r="B315" s="160">
        <f>B317+B316</f>
        <v>292179</v>
      </c>
      <c r="C315" s="160">
        <f>C317+C316</f>
        <v>-2136</v>
      </c>
      <c r="D315" s="160">
        <f t="shared" si="43"/>
        <v>290043</v>
      </c>
    </row>
    <row r="316" spans="1:4">
      <c r="A316" s="149" t="s">
        <v>195</v>
      </c>
      <c r="B316" s="162">
        <v>4380</v>
      </c>
      <c r="C316" s="162">
        <v>-2136</v>
      </c>
      <c r="D316" s="162">
        <f t="shared" si="43"/>
        <v>2244</v>
      </c>
    </row>
    <row r="317" spans="1:4">
      <c r="A317" s="149" t="s">
        <v>194</v>
      </c>
      <c r="B317" s="162">
        <v>287799</v>
      </c>
      <c r="C317" s="162"/>
      <c r="D317" s="162">
        <f t="shared" si="43"/>
        <v>287799</v>
      </c>
    </row>
    <row r="318" spans="1:4">
      <c r="A318" s="153" t="s">
        <v>126</v>
      </c>
      <c r="B318" s="163">
        <f>B320+B319</f>
        <v>12182</v>
      </c>
      <c r="C318" s="160">
        <f>C320+C319</f>
        <v>-400</v>
      </c>
      <c r="D318" s="163">
        <f t="shared" si="43"/>
        <v>11782</v>
      </c>
    </row>
    <row r="319" spans="1:4">
      <c r="A319" s="151" t="s">
        <v>169</v>
      </c>
      <c r="B319" s="161">
        <v>1882</v>
      </c>
      <c r="C319" s="162"/>
      <c r="D319" s="161">
        <f t="shared" si="43"/>
        <v>1882</v>
      </c>
    </row>
    <row r="320" spans="1:4">
      <c r="A320" s="151" t="s">
        <v>170</v>
      </c>
      <c r="B320" s="161">
        <v>10300</v>
      </c>
      <c r="C320" s="162">
        <v>-400</v>
      </c>
      <c r="D320" s="161">
        <f t="shared" si="43"/>
        <v>9900</v>
      </c>
    </row>
    <row r="321" spans="1:4">
      <c r="A321" s="148"/>
      <c r="B321" s="160"/>
      <c r="C321" s="160"/>
      <c r="D321" s="160">
        <f t="shared" si="43"/>
        <v>0</v>
      </c>
    </row>
    <row r="322" spans="1:4">
      <c r="A322" s="148" t="s">
        <v>198</v>
      </c>
      <c r="B322" s="160">
        <f>B323</f>
        <v>1002824</v>
      </c>
      <c r="C322" s="160">
        <f>C323+C329</f>
        <v>188650</v>
      </c>
      <c r="D322" s="160">
        <f t="shared" si="43"/>
        <v>1191474</v>
      </c>
    </row>
    <row r="323" spans="1:4">
      <c r="A323" s="148" t="s">
        <v>136</v>
      </c>
      <c r="B323" s="160">
        <f>B324+B325+B326</f>
        <v>1002824</v>
      </c>
      <c r="C323" s="160">
        <f>C324+C325+C326+C327+C328</f>
        <v>176407</v>
      </c>
      <c r="D323" s="160">
        <f t="shared" si="43"/>
        <v>1179231</v>
      </c>
    </row>
    <row r="324" spans="1:4">
      <c r="A324" s="151" t="s">
        <v>199</v>
      </c>
      <c r="B324" s="161">
        <v>26520</v>
      </c>
      <c r="C324" s="162">
        <v>7454</v>
      </c>
      <c r="D324" s="161">
        <f t="shared" si="43"/>
        <v>33974</v>
      </c>
    </row>
    <row r="325" spans="1:4">
      <c r="A325" s="151" t="s">
        <v>510</v>
      </c>
      <c r="B325" s="161">
        <v>290000</v>
      </c>
      <c r="C325" s="162">
        <v>50000</v>
      </c>
      <c r="D325" s="161">
        <f t="shared" si="43"/>
        <v>340000</v>
      </c>
    </row>
    <row r="326" spans="1:4" ht="25.5">
      <c r="A326" s="151" t="s">
        <v>511</v>
      </c>
      <c r="B326" s="161">
        <v>686304</v>
      </c>
      <c r="C326" s="162">
        <v>22401</v>
      </c>
      <c r="D326" s="161">
        <f t="shared" si="43"/>
        <v>708705</v>
      </c>
    </row>
    <row r="327" spans="1:4">
      <c r="A327" s="151" t="s">
        <v>896</v>
      </c>
      <c r="B327" s="161"/>
      <c r="C327" s="162">
        <v>93552</v>
      </c>
      <c r="D327" s="161">
        <f t="shared" si="43"/>
        <v>93552</v>
      </c>
    </row>
    <row r="328" spans="1:4" ht="25.5">
      <c r="A328" s="525" t="s">
        <v>910</v>
      </c>
      <c r="B328" s="161"/>
      <c r="C328" s="162">
        <v>3000</v>
      </c>
      <c r="D328" s="161">
        <f t="shared" si="43"/>
        <v>3000</v>
      </c>
    </row>
    <row r="329" spans="1:4">
      <c r="A329" s="155" t="s">
        <v>127</v>
      </c>
      <c r="B329" s="161"/>
      <c r="C329" s="348">
        <f>C330</f>
        <v>12243</v>
      </c>
      <c r="D329" s="161">
        <f t="shared" si="43"/>
        <v>12243</v>
      </c>
    </row>
    <row r="330" spans="1:4" ht="25.5">
      <c r="A330" s="151" t="s">
        <v>172</v>
      </c>
      <c r="B330" s="161"/>
      <c r="C330" s="162">
        <v>12243</v>
      </c>
      <c r="D330" s="161">
        <f t="shared" si="43"/>
        <v>12243</v>
      </c>
    </row>
    <row r="331" spans="1:4">
      <c r="A331" s="148"/>
      <c r="B331" s="160"/>
      <c r="C331" s="160"/>
      <c r="D331" s="160">
        <f t="shared" si="43"/>
        <v>0</v>
      </c>
    </row>
    <row r="332" spans="1:4">
      <c r="A332" s="148" t="s">
        <v>200</v>
      </c>
      <c r="B332" s="160">
        <f>B336+B333+B339</f>
        <v>1824758</v>
      </c>
      <c r="C332" s="160">
        <f>C336+C333+C339+C341</f>
        <v>30200</v>
      </c>
      <c r="D332" s="160">
        <f t="shared" si="43"/>
        <v>1854958</v>
      </c>
    </row>
    <row r="333" spans="1:4">
      <c r="A333" s="148" t="s">
        <v>136</v>
      </c>
      <c r="B333" s="160">
        <f>B335+B334</f>
        <v>1818000</v>
      </c>
      <c r="C333" s="160">
        <f>C335+C334</f>
        <v>30000</v>
      </c>
      <c r="D333" s="160">
        <f t="shared" si="43"/>
        <v>1848000</v>
      </c>
    </row>
    <row r="334" spans="1:4">
      <c r="A334" s="151" t="s">
        <v>195</v>
      </c>
      <c r="B334" s="161">
        <v>33000</v>
      </c>
      <c r="C334" s="162"/>
      <c r="D334" s="161">
        <f t="shared" si="43"/>
        <v>33000</v>
      </c>
    </row>
    <row r="335" spans="1:4">
      <c r="A335" s="151" t="s">
        <v>194</v>
      </c>
      <c r="B335" s="161">
        <v>1785000</v>
      </c>
      <c r="C335" s="162">
        <v>30000</v>
      </c>
      <c r="D335" s="161">
        <f t="shared" si="43"/>
        <v>1815000</v>
      </c>
    </row>
    <row r="336" spans="1:4">
      <c r="A336" s="148" t="s">
        <v>126</v>
      </c>
      <c r="B336" s="160">
        <f>B337+B338</f>
        <v>6158</v>
      </c>
      <c r="C336" s="160">
        <f>C337+C338</f>
        <v>0</v>
      </c>
      <c r="D336" s="160">
        <f t="shared" si="43"/>
        <v>6158</v>
      </c>
    </row>
    <row r="337" spans="1:4">
      <c r="A337" s="149" t="s">
        <v>169</v>
      </c>
      <c r="B337" s="162">
        <v>4258</v>
      </c>
      <c r="C337" s="162"/>
      <c r="D337" s="162">
        <f t="shared" si="43"/>
        <v>4258</v>
      </c>
    </row>
    <row r="338" spans="1:4">
      <c r="A338" s="149" t="s">
        <v>170</v>
      </c>
      <c r="B338" s="162">
        <v>1900</v>
      </c>
      <c r="C338" s="162"/>
      <c r="D338" s="162">
        <f t="shared" si="43"/>
        <v>1900</v>
      </c>
    </row>
    <row r="339" spans="1:4">
      <c r="A339" s="155" t="s">
        <v>127</v>
      </c>
      <c r="B339" s="164">
        <f>B340</f>
        <v>600</v>
      </c>
      <c r="C339" s="164">
        <f>C340</f>
        <v>-350</v>
      </c>
      <c r="D339" s="164">
        <f t="shared" si="43"/>
        <v>250</v>
      </c>
    </row>
    <row r="340" spans="1:4" ht="25.5">
      <c r="A340" s="151" t="s">
        <v>172</v>
      </c>
      <c r="B340" s="161">
        <v>600</v>
      </c>
      <c r="C340" s="162">
        <v>-350</v>
      </c>
      <c r="D340" s="161">
        <f t="shared" si="43"/>
        <v>250</v>
      </c>
    </row>
    <row r="341" spans="1:4">
      <c r="A341" s="148" t="s">
        <v>135</v>
      </c>
      <c r="B341" s="161"/>
      <c r="C341" s="348">
        <f>C342</f>
        <v>550</v>
      </c>
      <c r="D341" s="161">
        <f t="shared" si="43"/>
        <v>550</v>
      </c>
    </row>
    <row r="342" spans="1:4">
      <c r="A342" s="151" t="s">
        <v>913</v>
      </c>
      <c r="B342" s="161"/>
      <c r="C342" s="162">
        <v>550</v>
      </c>
      <c r="D342" s="161">
        <f t="shared" si="43"/>
        <v>550</v>
      </c>
    </row>
    <row r="343" spans="1:4">
      <c r="A343" s="148"/>
      <c r="B343" s="160"/>
      <c r="C343" s="160"/>
      <c r="D343" s="160">
        <f t="shared" si="43"/>
        <v>0</v>
      </c>
    </row>
    <row r="344" spans="1:4">
      <c r="A344" s="148" t="s">
        <v>201</v>
      </c>
      <c r="B344" s="160">
        <f>B345+B354+B351</f>
        <v>418315</v>
      </c>
      <c r="C344" s="160">
        <f>C345+C354+C351+C356</f>
        <v>60621</v>
      </c>
      <c r="D344" s="160">
        <f t="shared" si="43"/>
        <v>478936</v>
      </c>
    </row>
    <row r="345" spans="1:4">
      <c r="A345" s="148" t="s">
        <v>136</v>
      </c>
      <c r="B345" s="160">
        <f>B347+B346+B348+B349+B350</f>
        <v>387033</v>
      </c>
      <c r="C345" s="160">
        <f>C347+C346+C348+C349+C350</f>
        <v>45596</v>
      </c>
      <c r="D345" s="160">
        <f t="shared" si="43"/>
        <v>432629</v>
      </c>
    </row>
    <row r="346" spans="1:4">
      <c r="A346" s="151" t="s">
        <v>195</v>
      </c>
      <c r="B346" s="161">
        <v>45030</v>
      </c>
      <c r="C346" s="162"/>
      <c r="D346" s="161">
        <f t="shared" si="43"/>
        <v>45030</v>
      </c>
    </row>
    <row r="347" spans="1:4">
      <c r="A347" s="151" t="s">
        <v>194</v>
      </c>
      <c r="B347" s="161">
        <v>25895</v>
      </c>
      <c r="C347" s="162">
        <v>5496</v>
      </c>
      <c r="D347" s="161">
        <f t="shared" si="43"/>
        <v>31391</v>
      </c>
    </row>
    <row r="348" spans="1:4">
      <c r="A348" s="151" t="s">
        <v>510</v>
      </c>
      <c r="B348" s="161">
        <v>75000</v>
      </c>
      <c r="C348" s="162">
        <v>-25000</v>
      </c>
      <c r="D348" s="161">
        <f t="shared" si="43"/>
        <v>50000</v>
      </c>
    </row>
    <row r="349" spans="1:4" ht="25.5">
      <c r="A349" s="151" t="s">
        <v>511</v>
      </c>
      <c r="B349" s="161">
        <v>141108</v>
      </c>
      <c r="C349" s="162">
        <v>28900</v>
      </c>
      <c r="D349" s="161">
        <f t="shared" si="43"/>
        <v>170008</v>
      </c>
    </row>
    <row r="350" spans="1:4">
      <c r="A350" s="151" t="s">
        <v>512</v>
      </c>
      <c r="B350" s="161">
        <v>100000</v>
      </c>
      <c r="C350" s="162">
        <v>36200</v>
      </c>
      <c r="D350" s="161">
        <f t="shared" si="43"/>
        <v>136200</v>
      </c>
    </row>
    <row r="351" spans="1:4">
      <c r="A351" s="148" t="s">
        <v>126</v>
      </c>
      <c r="B351" s="160">
        <f>B352+B353</f>
        <v>17282</v>
      </c>
      <c r="C351" s="160">
        <f>C352+C353</f>
        <v>950</v>
      </c>
      <c r="D351" s="160">
        <f t="shared" si="43"/>
        <v>18232</v>
      </c>
    </row>
    <row r="352" spans="1:4">
      <c r="A352" s="149" t="s">
        <v>169</v>
      </c>
      <c r="B352" s="162">
        <v>8782</v>
      </c>
      <c r="C352" s="162">
        <v>950</v>
      </c>
      <c r="D352" s="162">
        <f t="shared" si="43"/>
        <v>9732</v>
      </c>
    </row>
    <row r="353" spans="1:4">
      <c r="A353" s="149" t="s">
        <v>170</v>
      </c>
      <c r="B353" s="162">
        <v>8500</v>
      </c>
      <c r="C353" s="162"/>
      <c r="D353" s="162">
        <f t="shared" si="43"/>
        <v>8500</v>
      </c>
    </row>
    <row r="354" spans="1:4">
      <c r="A354" s="155" t="s">
        <v>127</v>
      </c>
      <c r="B354" s="164">
        <f>B355</f>
        <v>14000</v>
      </c>
      <c r="C354" s="164">
        <f>C355</f>
        <v>14000</v>
      </c>
      <c r="D354" s="164">
        <f t="shared" si="43"/>
        <v>28000</v>
      </c>
    </row>
    <row r="355" spans="1:4" ht="25.5">
      <c r="A355" s="151" t="s">
        <v>172</v>
      </c>
      <c r="B355" s="161">
        <v>14000</v>
      </c>
      <c r="C355" s="162">
        <v>14000</v>
      </c>
      <c r="D355" s="161">
        <f t="shared" si="43"/>
        <v>28000</v>
      </c>
    </row>
    <row r="356" spans="1:4">
      <c r="A356" s="498" t="s">
        <v>135</v>
      </c>
      <c r="B356" s="161"/>
      <c r="C356" s="348">
        <f>C357</f>
        <v>75</v>
      </c>
      <c r="D356" s="161">
        <f t="shared" si="43"/>
        <v>75</v>
      </c>
    </row>
    <row r="357" spans="1:4">
      <c r="A357" s="151" t="s">
        <v>911</v>
      </c>
      <c r="B357" s="161"/>
      <c r="C357" s="162">
        <v>75</v>
      </c>
      <c r="D357" s="161">
        <f t="shared" si="43"/>
        <v>75</v>
      </c>
    </row>
    <row r="358" spans="1:4">
      <c r="A358" s="151"/>
      <c r="B358" s="161"/>
      <c r="C358" s="162"/>
      <c r="D358" s="161">
        <f t="shared" si="43"/>
        <v>0</v>
      </c>
    </row>
    <row r="359" spans="1:4">
      <c r="A359" s="148" t="s">
        <v>202</v>
      </c>
      <c r="B359" s="160">
        <f>B360</f>
        <v>123238</v>
      </c>
      <c r="C359" s="160">
        <f>C360</f>
        <v>9000</v>
      </c>
      <c r="D359" s="160">
        <f t="shared" si="43"/>
        <v>132238</v>
      </c>
    </row>
    <row r="360" spans="1:4">
      <c r="A360" s="148" t="s">
        <v>136</v>
      </c>
      <c r="B360" s="160">
        <f>B363+B362+B361</f>
        <v>123238</v>
      </c>
      <c r="C360" s="160">
        <f>C363+C362+C361</f>
        <v>9000</v>
      </c>
      <c r="D360" s="160">
        <f t="shared" ref="D360:D413" si="44">B360+C360</f>
        <v>132238</v>
      </c>
    </row>
    <row r="361" spans="1:4">
      <c r="A361" s="151" t="s">
        <v>203</v>
      </c>
      <c r="B361" s="161">
        <v>8000</v>
      </c>
      <c r="C361" s="162">
        <v>500</v>
      </c>
      <c r="D361" s="161">
        <f t="shared" si="44"/>
        <v>8500</v>
      </c>
    </row>
    <row r="362" spans="1:4">
      <c r="A362" s="151" t="s">
        <v>194</v>
      </c>
      <c r="B362" s="161">
        <v>115008</v>
      </c>
      <c r="C362" s="162">
        <v>8500</v>
      </c>
      <c r="D362" s="161">
        <f t="shared" si="44"/>
        <v>123508</v>
      </c>
    </row>
    <row r="363" spans="1:4">
      <c r="A363" s="151" t="s">
        <v>380</v>
      </c>
      <c r="B363" s="161">
        <v>230</v>
      </c>
      <c r="C363" s="162"/>
      <c r="D363" s="161">
        <f t="shared" si="44"/>
        <v>230</v>
      </c>
    </row>
    <row r="364" spans="1:4">
      <c r="A364" s="151"/>
      <c r="B364" s="161"/>
      <c r="C364" s="162"/>
      <c r="D364" s="161">
        <f t="shared" si="44"/>
        <v>0</v>
      </c>
    </row>
    <row r="365" spans="1:4">
      <c r="A365" s="148" t="s">
        <v>204</v>
      </c>
      <c r="B365" s="160">
        <f>B366</f>
        <v>9194359</v>
      </c>
      <c r="C365" s="160">
        <f>C366</f>
        <v>670423</v>
      </c>
      <c r="D365" s="160">
        <f t="shared" si="44"/>
        <v>9864782</v>
      </c>
    </row>
    <row r="366" spans="1:4">
      <c r="A366" s="148" t="s">
        <v>137</v>
      </c>
      <c r="B366" s="160">
        <f>B367</f>
        <v>9194359</v>
      </c>
      <c r="C366" s="160">
        <f>C367</f>
        <v>670423</v>
      </c>
      <c r="D366" s="160">
        <f t="shared" si="44"/>
        <v>9864782</v>
      </c>
    </row>
    <row r="367" spans="1:4">
      <c r="A367" s="151" t="s">
        <v>935</v>
      </c>
      <c r="B367" s="161">
        <v>9194359</v>
      </c>
      <c r="C367" s="162">
        <v>670423</v>
      </c>
      <c r="D367" s="161">
        <f t="shared" si="44"/>
        <v>9864782</v>
      </c>
    </row>
    <row r="368" spans="1:4">
      <c r="A368" s="151"/>
      <c r="B368" s="161"/>
      <c r="C368" s="162"/>
      <c r="D368" s="161">
        <f t="shared" si="44"/>
        <v>0</v>
      </c>
    </row>
    <row r="369" spans="1:4">
      <c r="A369" s="148" t="s">
        <v>897</v>
      </c>
      <c r="B369" s="161"/>
      <c r="C369" s="348">
        <f>C370+C372</f>
        <v>5604</v>
      </c>
      <c r="D369" s="161">
        <f t="shared" si="44"/>
        <v>5604</v>
      </c>
    </row>
    <row r="370" spans="1:4">
      <c r="A370" s="148" t="s">
        <v>136</v>
      </c>
      <c r="B370" s="161"/>
      <c r="C370" s="348">
        <f>C371</f>
        <v>5200</v>
      </c>
      <c r="D370" s="161">
        <f t="shared" si="44"/>
        <v>5200</v>
      </c>
    </row>
    <row r="371" spans="1:4">
      <c r="A371" s="151" t="s">
        <v>194</v>
      </c>
      <c r="B371" s="161"/>
      <c r="C371" s="162">
        <v>5200</v>
      </c>
      <c r="D371" s="161">
        <f t="shared" si="44"/>
        <v>5200</v>
      </c>
    </row>
    <row r="372" spans="1:4">
      <c r="A372" s="498" t="s">
        <v>135</v>
      </c>
      <c r="B372" s="161"/>
      <c r="C372" s="348">
        <f>C373</f>
        <v>404</v>
      </c>
      <c r="D372" s="161">
        <f t="shared" si="44"/>
        <v>404</v>
      </c>
    </row>
    <row r="373" spans="1:4">
      <c r="A373" s="151" t="s">
        <v>911</v>
      </c>
      <c r="B373" s="161"/>
      <c r="C373" s="162">
        <v>404</v>
      </c>
      <c r="D373" s="161">
        <f t="shared" si="44"/>
        <v>404</v>
      </c>
    </row>
    <row r="374" spans="1:4">
      <c r="A374" s="149"/>
      <c r="B374" s="162"/>
      <c r="C374" s="162"/>
      <c r="D374" s="162">
        <f t="shared" si="44"/>
        <v>0</v>
      </c>
    </row>
    <row r="375" spans="1:4">
      <c r="A375" s="150" t="s">
        <v>205</v>
      </c>
      <c r="B375" s="159">
        <f>B376+B381+B384</f>
        <v>3617640</v>
      </c>
      <c r="C375" s="11">
        <f>C376+C381+C384</f>
        <v>17000</v>
      </c>
      <c r="D375" s="159">
        <f t="shared" si="44"/>
        <v>3634640</v>
      </c>
    </row>
    <row r="376" spans="1:4">
      <c r="A376" s="148" t="s">
        <v>134</v>
      </c>
      <c r="B376" s="160">
        <f>B377+B378+B379+B380</f>
        <v>3298000</v>
      </c>
      <c r="C376" s="10">
        <f>C377+C378+C379+C380</f>
        <v>5960</v>
      </c>
      <c r="D376" s="160">
        <f t="shared" si="44"/>
        <v>3303960</v>
      </c>
    </row>
    <row r="377" spans="1:4">
      <c r="A377" s="149" t="s">
        <v>190</v>
      </c>
      <c r="B377" s="162">
        <v>1381000</v>
      </c>
      <c r="C377" s="138">
        <v>9000</v>
      </c>
      <c r="D377" s="162">
        <f t="shared" si="44"/>
        <v>1390000</v>
      </c>
    </row>
    <row r="378" spans="1:4">
      <c r="A378" s="149" t="s">
        <v>170</v>
      </c>
      <c r="B378" s="162">
        <v>1630000</v>
      </c>
      <c r="C378" s="138"/>
      <c r="D378" s="162">
        <f t="shared" si="44"/>
        <v>1630000</v>
      </c>
    </row>
    <row r="379" spans="1:4">
      <c r="A379" s="149" t="s">
        <v>518</v>
      </c>
      <c r="B379" s="162">
        <v>260000</v>
      </c>
      <c r="C379" s="138"/>
      <c r="D379" s="162">
        <f t="shared" si="44"/>
        <v>260000</v>
      </c>
    </row>
    <row r="380" spans="1:4">
      <c r="A380" s="149" t="s">
        <v>519</v>
      </c>
      <c r="B380" s="162">
        <v>27000</v>
      </c>
      <c r="C380" s="522">
        <v>-3040</v>
      </c>
      <c r="D380" s="162">
        <f t="shared" si="44"/>
        <v>23960</v>
      </c>
    </row>
    <row r="381" spans="1:4">
      <c r="A381" s="148" t="s">
        <v>126</v>
      </c>
      <c r="B381" s="160">
        <f>B382+B383</f>
        <v>317640</v>
      </c>
      <c r="C381" s="522">
        <f>C382+C383</f>
        <v>11040</v>
      </c>
      <c r="D381" s="160">
        <f t="shared" si="44"/>
        <v>328680</v>
      </c>
    </row>
    <row r="382" spans="1:4">
      <c r="A382" s="149" t="s">
        <v>169</v>
      </c>
      <c r="B382" s="162">
        <v>257640</v>
      </c>
      <c r="C382" s="138">
        <v>6040</v>
      </c>
      <c r="D382" s="162">
        <f t="shared" si="44"/>
        <v>263680</v>
      </c>
    </row>
    <row r="383" spans="1:4">
      <c r="A383" s="149" t="s">
        <v>170</v>
      </c>
      <c r="B383" s="162">
        <v>60000</v>
      </c>
      <c r="C383" s="138">
        <v>5000</v>
      </c>
      <c r="D383" s="162">
        <f t="shared" si="44"/>
        <v>65000</v>
      </c>
    </row>
    <row r="384" spans="1:4">
      <c r="A384" s="353" t="s">
        <v>128</v>
      </c>
      <c r="B384" s="346">
        <f>B385</f>
        <v>2000</v>
      </c>
      <c r="C384" s="346"/>
      <c r="D384" s="346">
        <f t="shared" si="44"/>
        <v>2000</v>
      </c>
    </row>
    <row r="385" spans="1:4">
      <c r="A385" s="149" t="s">
        <v>174</v>
      </c>
      <c r="B385" s="162">
        <v>2000</v>
      </c>
      <c r="C385" s="162"/>
      <c r="D385" s="162">
        <f t="shared" si="44"/>
        <v>2000</v>
      </c>
    </row>
    <row r="386" spans="1:4">
      <c r="A386" s="149"/>
      <c r="B386" s="162"/>
      <c r="C386" s="162"/>
      <c r="D386" s="162">
        <f t="shared" si="44"/>
        <v>0</v>
      </c>
    </row>
    <row r="387" spans="1:4">
      <c r="A387" s="150" t="s">
        <v>206</v>
      </c>
      <c r="B387" s="159">
        <f>B389+B395</f>
        <v>1194800</v>
      </c>
      <c r="C387" s="159">
        <f>C389+C395</f>
        <v>406520</v>
      </c>
      <c r="D387" s="159">
        <f t="shared" si="44"/>
        <v>1601320</v>
      </c>
    </row>
    <row r="388" spans="1:4">
      <c r="A388" s="150"/>
      <c r="B388" s="159"/>
      <c r="C388" s="159"/>
      <c r="D388" s="159">
        <f t="shared" si="44"/>
        <v>0</v>
      </c>
    </row>
    <row r="389" spans="1:4">
      <c r="A389" s="148" t="s">
        <v>207</v>
      </c>
      <c r="B389" s="160">
        <f>B390</f>
        <v>668700</v>
      </c>
      <c r="C389" s="160">
        <f>C390</f>
        <v>79220</v>
      </c>
      <c r="D389" s="160">
        <f t="shared" si="44"/>
        <v>747920</v>
      </c>
    </row>
    <row r="390" spans="1:4">
      <c r="A390" s="148" t="s">
        <v>127</v>
      </c>
      <c r="B390" s="160">
        <f>B392+B393+B391</f>
        <v>668700</v>
      </c>
      <c r="C390" s="160">
        <f>C392+C393+C391</f>
        <v>79220</v>
      </c>
      <c r="D390" s="160">
        <f t="shared" si="44"/>
        <v>747920</v>
      </c>
    </row>
    <row r="391" spans="1:4">
      <c r="A391" s="149" t="s">
        <v>208</v>
      </c>
      <c r="B391" s="162">
        <v>196200</v>
      </c>
      <c r="C391" s="162"/>
      <c r="D391" s="162">
        <f t="shared" si="44"/>
        <v>196200</v>
      </c>
    </row>
    <row r="392" spans="1:4">
      <c r="A392" s="149" t="s">
        <v>184</v>
      </c>
      <c r="B392" s="162">
        <v>407000</v>
      </c>
      <c r="C392" s="162">
        <v>75000</v>
      </c>
      <c r="D392" s="162">
        <f t="shared" si="44"/>
        <v>482000</v>
      </c>
    </row>
    <row r="393" spans="1:4">
      <c r="A393" s="149" t="s">
        <v>174</v>
      </c>
      <c r="B393" s="162">
        <v>65500</v>
      </c>
      <c r="C393" s="162">
        <v>4220</v>
      </c>
      <c r="D393" s="162">
        <f t="shared" si="44"/>
        <v>69720</v>
      </c>
    </row>
    <row r="394" spans="1:4">
      <c r="A394" s="149"/>
      <c r="B394" s="162"/>
      <c r="C394" s="162"/>
      <c r="D394" s="162">
        <f t="shared" si="44"/>
        <v>0</v>
      </c>
    </row>
    <row r="395" spans="1:4">
      <c r="A395" s="153" t="s">
        <v>209</v>
      </c>
      <c r="B395" s="163">
        <f>B396+B399+B401</f>
        <v>526100</v>
      </c>
      <c r="C395" s="160">
        <f>C396+C399+C401</f>
        <v>327300</v>
      </c>
      <c r="D395" s="163">
        <f t="shared" si="44"/>
        <v>853400</v>
      </c>
    </row>
    <row r="396" spans="1:4">
      <c r="A396" s="148" t="s">
        <v>126</v>
      </c>
      <c r="B396" s="160">
        <f>B397+B398</f>
        <v>190100</v>
      </c>
      <c r="C396" s="160">
        <f>C397+C398</f>
        <v>438300</v>
      </c>
      <c r="D396" s="160">
        <f t="shared" si="44"/>
        <v>628400</v>
      </c>
    </row>
    <row r="397" spans="1:4">
      <c r="A397" s="149" t="s">
        <v>169</v>
      </c>
      <c r="B397" s="162">
        <v>120600</v>
      </c>
      <c r="C397" s="162">
        <v>438300</v>
      </c>
      <c r="D397" s="162">
        <f t="shared" si="44"/>
        <v>558900</v>
      </c>
    </row>
    <row r="398" spans="1:4">
      <c r="A398" s="149" t="s">
        <v>170</v>
      </c>
      <c r="B398" s="162">
        <v>69500</v>
      </c>
      <c r="C398" s="162"/>
      <c r="D398" s="162">
        <f t="shared" si="44"/>
        <v>69500</v>
      </c>
    </row>
    <row r="399" spans="1:4">
      <c r="A399" s="153" t="s">
        <v>133</v>
      </c>
      <c r="B399" s="163">
        <f>B400</f>
        <v>436000</v>
      </c>
      <c r="C399" s="160">
        <f>C400</f>
        <v>-111000</v>
      </c>
      <c r="D399" s="163">
        <f t="shared" si="44"/>
        <v>325000</v>
      </c>
    </row>
    <row r="400" spans="1:4">
      <c r="A400" s="151" t="s">
        <v>210</v>
      </c>
      <c r="B400" s="161">
        <v>436000</v>
      </c>
      <c r="C400" s="162">
        <v>-111000</v>
      </c>
      <c r="D400" s="161">
        <f t="shared" si="44"/>
        <v>325000</v>
      </c>
    </row>
    <row r="401" spans="1:4">
      <c r="A401" s="155" t="s">
        <v>146</v>
      </c>
      <c r="B401" s="164">
        <f>B402</f>
        <v>-100000</v>
      </c>
      <c r="C401" s="164"/>
      <c r="D401" s="164">
        <f t="shared" si="44"/>
        <v>-100000</v>
      </c>
    </row>
    <row r="402" spans="1:4" ht="25.5">
      <c r="A402" s="151" t="s">
        <v>211</v>
      </c>
      <c r="B402" s="161">
        <v>-100000</v>
      </c>
      <c r="C402" s="162"/>
      <c r="D402" s="161">
        <f t="shared" si="44"/>
        <v>-100000</v>
      </c>
    </row>
    <row r="403" spans="1:4">
      <c r="A403" s="149"/>
      <c r="B403" s="162"/>
      <c r="C403" s="162"/>
      <c r="D403" s="162">
        <f t="shared" si="44"/>
        <v>0</v>
      </c>
    </row>
    <row r="404" spans="1:4">
      <c r="A404" s="150" t="s">
        <v>212</v>
      </c>
      <c r="B404" s="159">
        <f>SUM(B405,B409,B411)</f>
        <v>1351873</v>
      </c>
      <c r="C404" s="159">
        <f>SUM(C405,C409,C411)</f>
        <v>-2684</v>
      </c>
      <c r="D404" s="159">
        <f t="shared" si="44"/>
        <v>1349189</v>
      </c>
    </row>
    <row r="405" spans="1:4">
      <c r="A405" s="148" t="s">
        <v>138</v>
      </c>
      <c r="B405" s="160">
        <f>SUM(B406:B408)</f>
        <v>1302300</v>
      </c>
      <c r="C405" s="160">
        <f>SUM(C406:C408)</f>
        <v>0</v>
      </c>
      <c r="D405" s="160">
        <f t="shared" si="44"/>
        <v>1302300</v>
      </c>
    </row>
    <row r="406" spans="1:4">
      <c r="A406" s="151" t="s">
        <v>520</v>
      </c>
      <c r="B406" s="161">
        <f>1180000+96000</f>
        <v>1276000</v>
      </c>
      <c r="C406" s="523"/>
      <c r="D406" s="161">
        <f t="shared" si="44"/>
        <v>1276000</v>
      </c>
    </row>
    <row r="407" spans="1:4" ht="25.5">
      <c r="A407" s="151" t="s">
        <v>521</v>
      </c>
      <c r="B407" s="161">
        <v>12300</v>
      </c>
      <c r="C407" s="523"/>
      <c r="D407" s="161">
        <f t="shared" si="44"/>
        <v>12300</v>
      </c>
    </row>
    <row r="408" spans="1:4">
      <c r="A408" s="151" t="s">
        <v>522</v>
      </c>
      <c r="B408" s="161">
        <v>14000</v>
      </c>
      <c r="C408" s="523"/>
      <c r="D408" s="161">
        <f t="shared" si="44"/>
        <v>14000</v>
      </c>
    </row>
    <row r="409" spans="1:4">
      <c r="A409" s="148" t="s">
        <v>126</v>
      </c>
      <c r="B409" s="160">
        <f>SUM(B410:B410)</f>
        <v>40073</v>
      </c>
      <c r="C409" s="160">
        <f>SUM(C410:C410)</f>
        <v>-2684</v>
      </c>
      <c r="D409" s="160">
        <f t="shared" si="44"/>
        <v>37389</v>
      </c>
    </row>
    <row r="410" spans="1:4">
      <c r="A410" s="149" t="s">
        <v>428</v>
      </c>
      <c r="B410" s="162">
        <v>40073</v>
      </c>
      <c r="C410" s="162">
        <f>-5369+2685</f>
        <v>-2684</v>
      </c>
      <c r="D410" s="162">
        <f t="shared" si="44"/>
        <v>37389</v>
      </c>
    </row>
    <row r="411" spans="1:4">
      <c r="A411" s="148" t="s">
        <v>127</v>
      </c>
      <c r="B411" s="160">
        <f>SUM(B412)</f>
        <v>9500</v>
      </c>
      <c r="C411" s="160"/>
      <c r="D411" s="160">
        <f t="shared" si="44"/>
        <v>9500</v>
      </c>
    </row>
    <row r="412" spans="1:4" ht="25.5">
      <c r="A412" s="151" t="s">
        <v>172</v>
      </c>
      <c r="B412" s="161">
        <v>9500</v>
      </c>
      <c r="C412" s="162"/>
      <c r="D412" s="161">
        <f t="shared" si="44"/>
        <v>9500</v>
      </c>
    </row>
    <row r="413" spans="1:4">
      <c r="A413" s="148"/>
      <c r="B413" s="160"/>
      <c r="C413" s="160"/>
      <c r="D413" s="160">
        <f t="shared" si="44"/>
        <v>0</v>
      </c>
    </row>
    <row r="414" spans="1:4">
      <c r="A414" s="150" t="s">
        <v>213</v>
      </c>
      <c r="B414" s="159">
        <f>B416+B429</f>
        <v>721881</v>
      </c>
      <c r="C414" s="159">
        <f>C416+C429</f>
        <v>159900</v>
      </c>
      <c r="D414" s="159">
        <f t="shared" ref="D414:D477" si="45">B414+C414</f>
        <v>881781</v>
      </c>
    </row>
    <row r="415" spans="1:4">
      <c r="A415" s="148"/>
      <c r="B415" s="160"/>
      <c r="C415" s="160"/>
      <c r="D415" s="160">
        <f t="shared" si="45"/>
        <v>0</v>
      </c>
    </row>
    <row r="416" spans="1:4">
      <c r="A416" s="148" t="s">
        <v>523</v>
      </c>
      <c r="B416" s="160">
        <f>B417+B419+B423+B426</f>
        <v>562588</v>
      </c>
      <c r="C416" s="160">
        <f>C417+C419+C423+C426</f>
        <v>89900</v>
      </c>
      <c r="D416" s="160">
        <f t="shared" si="45"/>
        <v>652488</v>
      </c>
    </row>
    <row r="417" spans="1:4">
      <c r="A417" s="148" t="s">
        <v>133</v>
      </c>
      <c r="B417" s="160">
        <f>SUM(B418)</f>
        <v>143000</v>
      </c>
      <c r="C417" s="523"/>
      <c r="D417" s="160">
        <f t="shared" si="45"/>
        <v>143000</v>
      </c>
    </row>
    <row r="418" spans="1:4">
      <c r="A418" s="149" t="s">
        <v>524</v>
      </c>
      <c r="B418" s="162">
        <v>143000</v>
      </c>
      <c r="C418" s="523"/>
      <c r="D418" s="162">
        <f t="shared" si="45"/>
        <v>143000</v>
      </c>
    </row>
    <row r="419" spans="1:4">
      <c r="A419" s="148" t="s">
        <v>126</v>
      </c>
      <c r="B419" s="160">
        <f>B420+B421+B422</f>
        <v>266588</v>
      </c>
      <c r="C419" s="523"/>
      <c r="D419" s="160">
        <f t="shared" si="45"/>
        <v>266588</v>
      </c>
    </row>
    <row r="420" spans="1:4">
      <c r="A420" s="149" t="s">
        <v>169</v>
      </c>
      <c r="B420" s="162">
        <v>264750</v>
      </c>
      <c r="C420" s="523"/>
      <c r="D420" s="162">
        <f t="shared" si="45"/>
        <v>264750</v>
      </c>
    </row>
    <row r="421" spans="1:4">
      <c r="A421" s="149" t="s">
        <v>170</v>
      </c>
      <c r="B421" s="162">
        <v>400</v>
      </c>
      <c r="C421" s="523"/>
      <c r="D421" s="162">
        <f t="shared" si="45"/>
        <v>400</v>
      </c>
    </row>
    <row r="422" spans="1:4">
      <c r="A422" s="149" t="s">
        <v>428</v>
      </c>
      <c r="B422" s="162">
        <v>1438</v>
      </c>
      <c r="C422" s="523"/>
      <c r="D422" s="162">
        <f t="shared" si="45"/>
        <v>1438</v>
      </c>
    </row>
    <row r="423" spans="1:4">
      <c r="A423" s="148" t="s">
        <v>132</v>
      </c>
      <c r="B423" s="160">
        <f>SUM(B424)</f>
        <v>150000</v>
      </c>
      <c r="C423" s="160">
        <f>SUM(C424:C425)</f>
        <v>89900</v>
      </c>
      <c r="D423" s="160">
        <f t="shared" si="45"/>
        <v>239900</v>
      </c>
    </row>
    <row r="424" spans="1:4">
      <c r="A424" s="149" t="s">
        <v>525</v>
      </c>
      <c r="B424" s="162">
        <v>150000</v>
      </c>
      <c r="C424" s="162">
        <v>85000</v>
      </c>
      <c r="D424" s="162">
        <f t="shared" si="45"/>
        <v>235000</v>
      </c>
    </row>
    <row r="425" spans="1:4">
      <c r="A425" s="149" t="s">
        <v>898</v>
      </c>
      <c r="B425" s="162"/>
      <c r="C425" s="162">
        <v>4900</v>
      </c>
      <c r="D425" s="162">
        <f t="shared" si="45"/>
        <v>4900</v>
      </c>
    </row>
    <row r="426" spans="1:4">
      <c r="A426" s="343" t="s">
        <v>127</v>
      </c>
      <c r="B426" s="346">
        <f>SUM(B427)</f>
        <v>3000</v>
      </c>
      <c r="C426" s="346"/>
      <c r="D426" s="346">
        <f t="shared" si="45"/>
        <v>3000</v>
      </c>
    </row>
    <row r="427" spans="1:4" ht="25.5">
      <c r="A427" s="151" t="s">
        <v>172</v>
      </c>
      <c r="B427" s="161">
        <v>3000</v>
      </c>
      <c r="C427" s="162"/>
      <c r="D427" s="161">
        <f t="shared" si="45"/>
        <v>3000</v>
      </c>
    </row>
    <row r="428" spans="1:4">
      <c r="A428" s="149"/>
      <c r="B428" s="162"/>
      <c r="C428" s="162"/>
      <c r="D428" s="162">
        <f t="shared" si="45"/>
        <v>0</v>
      </c>
    </row>
    <row r="429" spans="1:4">
      <c r="A429" s="148" t="s">
        <v>526</v>
      </c>
      <c r="B429" s="160">
        <f>B430+B432</f>
        <v>159293</v>
      </c>
      <c r="C429" s="160">
        <f>C430+C432</f>
        <v>70000</v>
      </c>
      <c r="D429" s="160">
        <f t="shared" si="45"/>
        <v>229293</v>
      </c>
    </row>
    <row r="430" spans="1:4">
      <c r="A430" s="148" t="s">
        <v>127</v>
      </c>
      <c r="B430" s="160">
        <f>SUM(B431)</f>
        <v>136825</v>
      </c>
      <c r="C430" s="160">
        <f>SUM(C431)</f>
        <v>70000</v>
      </c>
      <c r="D430" s="160">
        <f t="shared" si="45"/>
        <v>206825</v>
      </c>
    </row>
    <row r="431" spans="1:4">
      <c r="A431" s="149" t="s">
        <v>527</v>
      </c>
      <c r="B431" s="162">
        <v>136825</v>
      </c>
      <c r="C431" s="162">
        <v>70000</v>
      </c>
      <c r="D431" s="162">
        <f t="shared" si="45"/>
        <v>206825</v>
      </c>
    </row>
    <row r="432" spans="1:4">
      <c r="A432" s="148" t="s">
        <v>126</v>
      </c>
      <c r="B432" s="160">
        <f>SUM(B433)</f>
        <v>22468</v>
      </c>
      <c r="C432" s="160"/>
      <c r="D432" s="160">
        <f t="shared" si="45"/>
        <v>22468</v>
      </c>
    </row>
    <row r="433" spans="1:4">
      <c r="A433" s="149" t="s">
        <v>169</v>
      </c>
      <c r="B433" s="162">
        <v>22468</v>
      </c>
      <c r="C433" s="162"/>
      <c r="D433" s="162">
        <f t="shared" si="45"/>
        <v>22468</v>
      </c>
    </row>
    <row r="434" spans="1:4">
      <c r="A434" s="148"/>
      <c r="B434" s="160"/>
      <c r="C434" s="160"/>
      <c r="D434" s="160">
        <f t="shared" si="45"/>
        <v>0</v>
      </c>
    </row>
    <row r="435" spans="1:4">
      <c r="A435" s="150" t="s">
        <v>214</v>
      </c>
      <c r="B435" s="159">
        <f>SUM(B437,B444,B452,B461)</f>
        <v>6748914</v>
      </c>
      <c r="C435" s="159">
        <f>SUM(C437,C444,C452,C461)</f>
        <v>42731</v>
      </c>
      <c r="D435" s="159">
        <f t="shared" si="45"/>
        <v>6791645</v>
      </c>
    </row>
    <row r="436" spans="1:4">
      <c r="A436" s="156"/>
      <c r="B436" s="165"/>
      <c r="C436" s="166"/>
      <c r="D436" s="165">
        <f t="shared" si="45"/>
        <v>0</v>
      </c>
    </row>
    <row r="437" spans="1:4">
      <c r="A437" s="153" t="s">
        <v>528</v>
      </c>
      <c r="B437" s="163">
        <f>SUM(B438,B441)</f>
        <v>48269</v>
      </c>
      <c r="C437" s="160">
        <f>SUM(C438,C441)</f>
        <v>24231</v>
      </c>
      <c r="D437" s="163">
        <f t="shared" si="45"/>
        <v>72500</v>
      </c>
    </row>
    <row r="438" spans="1:4">
      <c r="A438" s="148" t="s">
        <v>126</v>
      </c>
      <c r="B438" s="160">
        <f>SUM(B439:B440)</f>
        <v>36424</v>
      </c>
      <c r="C438" s="160">
        <f>SUM(C439:C440)</f>
        <v>6651</v>
      </c>
      <c r="D438" s="160">
        <f t="shared" si="45"/>
        <v>43075</v>
      </c>
    </row>
    <row r="439" spans="1:4">
      <c r="A439" s="149" t="s">
        <v>169</v>
      </c>
      <c r="B439" s="162">
        <v>15424</v>
      </c>
      <c r="C439" s="4">
        <f>651</f>
        <v>651</v>
      </c>
      <c r="D439" s="162">
        <f t="shared" si="45"/>
        <v>16075</v>
      </c>
    </row>
    <row r="440" spans="1:4">
      <c r="A440" s="149" t="s">
        <v>170</v>
      </c>
      <c r="B440" s="162">
        <v>21000</v>
      </c>
      <c r="C440" s="4">
        <f>-7000+13000</f>
        <v>6000</v>
      </c>
      <c r="D440" s="162">
        <f t="shared" si="45"/>
        <v>27000</v>
      </c>
    </row>
    <row r="441" spans="1:4">
      <c r="A441" s="148" t="s">
        <v>139</v>
      </c>
      <c r="B441" s="160">
        <f>SUM(B442:B442)</f>
        <v>11845</v>
      </c>
      <c r="C441" s="160">
        <f>SUM(C442:C442)</f>
        <v>17580</v>
      </c>
      <c r="D441" s="160">
        <f t="shared" si="45"/>
        <v>29425</v>
      </c>
    </row>
    <row r="442" spans="1:4">
      <c r="A442" s="149" t="s">
        <v>529</v>
      </c>
      <c r="B442" s="162">
        <v>11845</v>
      </c>
      <c r="C442" s="4">
        <v>17580</v>
      </c>
      <c r="D442" s="162">
        <f t="shared" si="45"/>
        <v>29425</v>
      </c>
    </row>
    <row r="443" spans="1:4">
      <c r="A443" s="153"/>
      <c r="B443" s="163"/>
      <c r="C443" s="520"/>
      <c r="D443" s="163">
        <f t="shared" si="45"/>
        <v>0</v>
      </c>
    </row>
    <row r="444" spans="1:4">
      <c r="A444" s="148" t="s">
        <v>530</v>
      </c>
      <c r="B444" s="160">
        <f>SUM(B445,B447)</f>
        <v>811500</v>
      </c>
      <c r="C444" s="160">
        <f>SUM(C445,C447)</f>
        <v>18500</v>
      </c>
      <c r="D444" s="160">
        <f t="shared" si="45"/>
        <v>830000</v>
      </c>
    </row>
    <row r="445" spans="1:4">
      <c r="A445" s="148" t="s">
        <v>126</v>
      </c>
      <c r="B445" s="160">
        <f>SUM(B446:B446)</f>
        <v>3500</v>
      </c>
      <c r="C445" s="160">
        <f>SUM(C446:C446)</f>
        <v>-1000</v>
      </c>
      <c r="D445" s="160">
        <f t="shared" si="45"/>
        <v>2500</v>
      </c>
    </row>
    <row r="446" spans="1:4">
      <c r="A446" s="149" t="s">
        <v>170</v>
      </c>
      <c r="B446" s="162">
        <v>3500</v>
      </c>
      <c r="C446" s="4">
        <v>-1000</v>
      </c>
      <c r="D446" s="162">
        <f t="shared" si="45"/>
        <v>2500</v>
      </c>
    </row>
    <row r="447" spans="1:4">
      <c r="A447" s="148" t="s">
        <v>127</v>
      </c>
      <c r="B447" s="160">
        <f>SUM(B448:B450)</f>
        <v>808000</v>
      </c>
      <c r="C447" s="160">
        <f>SUM(C448:C450)</f>
        <v>19500</v>
      </c>
      <c r="D447" s="160">
        <f t="shared" si="45"/>
        <v>827500</v>
      </c>
    </row>
    <row r="448" spans="1:4">
      <c r="A448" s="149" t="s">
        <v>531</v>
      </c>
      <c r="B448" s="162">
        <v>790000</v>
      </c>
      <c r="C448" s="120">
        <v>15000</v>
      </c>
      <c r="D448" s="162">
        <f t="shared" si="45"/>
        <v>805000</v>
      </c>
    </row>
    <row r="449" spans="1:4">
      <c r="A449" s="149" t="s">
        <v>532</v>
      </c>
      <c r="B449" s="162">
        <v>17000</v>
      </c>
      <c r="C449" s="4">
        <v>4000</v>
      </c>
      <c r="D449" s="162">
        <f t="shared" si="45"/>
        <v>21000</v>
      </c>
    </row>
    <row r="450" spans="1:4">
      <c r="A450" s="149" t="s">
        <v>533</v>
      </c>
      <c r="B450" s="162">
        <v>1000</v>
      </c>
      <c r="C450" s="521">
        <v>500</v>
      </c>
      <c r="D450" s="162">
        <f t="shared" si="45"/>
        <v>1500</v>
      </c>
    </row>
    <row r="451" spans="1:4">
      <c r="A451" s="148"/>
      <c r="B451" s="160"/>
      <c r="C451" s="520"/>
      <c r="D451" s="160">
        <f t="shared" si="45"/>
        <v>0</v>
      </c>
    </row>
    <row r="452" spans="1:4">
      <c r="A452" s="148" t="s">
        <v>534</v>
      </c>
      <c r="B452" s="160">
        <f>B453+B457</f>
        <v>229145</v>
      </c>
      <c r="C452" s="160">
        <f>C453+C457</f>
        <v>0</v>
      </c>
      <c r="D452" s="160">
        <f t="shared" si="45"/>
        <v>229145</v>
      </c>
    </row>
    <row r="453" spans="1:4">
      <c r="A453" s="148" t="s">
        <v>130</v>
      </c>
      <c r="B453" s="160">
        <f>B454+B455+B456</f>
        <v>181100</v>
      </c>
      <c r="C453" s="160">
        <f>C454+C455+C456</f>
        <v>-1875</v>
      </c>
      <c r="D453" s="160">
        <f t="shared" si="45"/>
        <v>179225</v>
      </c>
    </row>
    <row r="454" spans="1:4">
      <c r="A454" s="149" t="s">
        <v>535</v>
      </c>
      <c r="B454" s="162">
        <v>125000</v>
      </c>
      <c r="C454" s="4"/>
      <c r="D454" s="162">
        <f t="shared" si="45"/>
        <v>125000</v>
      </c>
    </row>
    <row r="455" spans="1:4">
      <c r="A455" s="149" t="s">
        <v>536</v>
      </c>
      <c r="B455" s="162">
        <v>46600</v>
      </c>
      <c r="C455" s="578">
        <v>-1875</v>
      </c>
      <c r="D455" s="162">
        <f t="shared" si="45"/>
        <v>44725</v>
      </c>
    </row>
    <row r="456" spans="1:4">
      <c r="A456" s="149" t="s">
        <v>537</v>
      </c>
      <c r="B456" s="162">
        <v>9500</v>
      </c>
      <c r="C456" s="4"/>
      <c r="D456" s="162">
        <f t="shared" si="45"/>
        <v>9500</v>
      </c>
    </row>
    <row r="457" spans="1:4">
      <c r="A457" s="148" t="s">
        <v>126</v>
      </c>
      <c r="B457" s="160">
        <f>B458+B459</f>
        <v>48045</v>
      </c>
      <c r="C457" s="160">
        <f>C458+C459</f>
        <v>1875</v>
      </c>
      <c r="D457" s="160">
        <f t="shared" si="45"/>
        <v>49920</v>
      </c>
    </row>
    <row r="458" spans="1:4">
      <c r="A458" s="149" t="s">
        <v>169</v>
      </c>
      <c r="B458" s="162">
        <v>44445</v>
      </c>
      <c r="C458" s="502">
        <v>1875</v>
      </c>
      <c r="D458" s="162">
        <f t="shared" si="45"/>
        <v>46320</v>
      </c>
    </row>
    <row r="459" spans="1:4">
      <c r="A459" s="149" t="s">
        <v>170</v>
      </c>
      <c r="B459" s="162">
        <v>3600</v>
      </c>
      <c r="C459" s="162"/>
      <c r="D459" s="162">
        <f t="shared" si="45"/>
        <v>3600</v>
      </c>
    </row>
    <row r="460" spans="1:4">
      <c r="A460" s="149"/>
      <c r="B460" s="162"/>
      <c r="C460" s="162"/>
      <c r="D460" s="162">
        <f t="shared" si="45"/>
        <v>0</v>
      </c>
    </row>
    <row r="461" spans="1:4">
      <c r="A461" s="148" t="s">
        <v>538</v>
      </c>
      <c r="B461" s="160">
        <f>SUM(B462)</f>
        <v>5660000</v>
      </c>
      <c r="C461" s="160"/>
      <c r="D461" s="160">
        <f t="shared" si="45"/>
        <v>5660000</v>
      </c>
    </row>
    <row r="462" spans="1:4">
      <c r="A462" s="148" t="s">
        <v>139</v>
      </c>
      <c r="B462" s="160">
        <f>SUM(B463:B463)</f>
        <v>5660000</v>
      </c>
      <c r="C462" s="160"/>
      <c r="D462" s="160">
        <f t="shared" si="45"/>
        <v>5660000</v>
      </c>
    </row>
    <row r="463" spans="1:4">
      <c r="A463" s="149" t="s">
        <v>539</v>
      </c>
      <c r="B463" s="162">
        <f>4500000+1160000</f>
        <v>5660000</v>
      </c>
      <c r="C463" s="162"/>
      <c r="D463" s="162">
        <f t="shared" si="45"/>
        <v>5660000</v>
      </c>
    </row>
    <row r="464" spans="1:4">
      <c r="A464" s="148"/>
      <c r="B464" s="160"/>
      <c r="C464" s="160"/>
      <c r="D464" s="160">
        <f t="shared" si="45"/>
        <v>0</v>
      </c>
    </row>
    <row r="465" spans="1:4">
      <c r="A465" s="150" t="s">
        <v>540</v>
      </c>
      <c r="B465" s="159">
        <f>SUM(B466,B468)</f>
        <v>9600</v>
      </c>
      <c r="C465" s="159"/>
      <c r="D465" s="159">
        <f t="shared" si="45"/>
        <v>9600</v>
      </c>
    </row>
    <row r="466" spans="1:4">
      <c r="A466" s="148" t="s">
        <v>128</v>
      </c>
      <c r="B466" s="160">
        <f>SUM(B467)</f>
        <v>9000</v>
      </c>
      <c r="C466" s="160"/>
      <c r="D466" s="160">
        <f t="shared" si="45"/>
        <v>9000</v>
      </c>
    </row>
    <row r="467" spans="1:4">
      <c r="A467" s="149" t="s">
        <v>174</v>
      </c>
      <c r="B467" s="162">
        <v>9000</v>
      </c>
      <c r="C467" s="162"/>
      <c r="D467" s="162">
        <f t="shared" si="45"/>
        <v>9000</v>
      </c>
    </row>
    <row r="468" spans="1:4">
      <c r="A468" s="148" t="s">
        <v>127</v>
      </c>
      <c r="B468" s="160">
        <f>SUM(B469)</f>
        <v>600</v>
      </c>
      <c r="C468" s="160"/>
      <c r="D468" s="160">
        <f t="shared" si="45"/>
        <v>600</v>
      </c>
    </row>
    <row r="469" spans="1:4">
      <c r="A469" s="149" t="s">
        <v>184</v>
      </c>
      <c r="B469" s="162">
        <v>600</v>
      </c>
      <c r="C469" s="162"/>
      <c r="D469" s="162">
        <f t="shared" si="45"/>
        <v>600</v>
      </c>
    </row>
    <row r="470" spans="1:4">
      <c r="A470" s="148"/>
      <c r="B470" s="160"/>
      <c r="C470" s="160"/>
      <c r="D470" s="160">
        <f t="shared" si="45"/>
        <v>0</v>
      </c>
    </row>
    <row r="471" spans="1:4">
      <c r="A471" s="150" t="s">
        <v>215</v>
      </c>
      <c r="B471" s="159">
        <f>B473+B487+B493</f>
        <v>393770</v>
      </c>
      <c r="C471" s="159">
        <f>C473+C487+C493</f>
        <v>47900</v>
      </c>
      <c r="D471" s="159">
        <f t="shared" si="45"/>
        <v>441670</v>
      </c>
    </row>
    <row r="472" spans="1:4">
      <c r="A472" s="150"/>
      <c r="B472" s="159"/>
      <c r="C472" s="159"/>
      <c r="D472" s="159">
        <f t="shared" si="45"/>
        <v>0</v>
      </c>
    </row>
    <row r="473" spans="1:4">
      <c r="A473" s="148" t="s">
        <v>394</v>
      </c>
      <c r="B473" s="160">
        <f>B474+B477+B480+B483</f>
        <v>323970</v>
      </c>
      <c r="C473" s="160">
        <f>C474+C477+C480+C483</f>
        <v>46100</v>
      </c>
      <c r="D473" s="160">
        <f t="shared" si="45"/>
        <v>370070</v>
      </c>
    </row>
    <row r="474" spans="1:4">
      <c r="A474" s="148" t="s">
        <v>134</v>
      </c>
      <c r="B474" s="160">
        <f>SUM(B475:B476)</f>
        <v>50000</v>
      </c>
      <c r="C474" s="160"/>
      <c r="D474" s="160">
        <f t="shared" si="45"/>
        <v>50000</v>
      </c>
    </row>
    <row r="475" spans="1:4">
      <c r="A475" s="149" t="s">
        <v>190</v>
      </c>
      <c r="B475" s="162">
        <v>14000</v>
      </c>
      <c r="C475" s="162"/>
      <c r="D475" s="162">
        <f t="shared" si="45"/>
        <v>14000</v>
      </c>
    </row>
    <row r="476" spans="1:4">
      <c r="A476" s="149" t="s">
        <v>170</v>
      </c>
      <c r="B476" s="162">
        <v>36000</v>
      </c>
      <c r="C476" s="162"/>
      <c r="D476" s="162">
        <f t="shared" si="45"/>
        <v>36000</v>
      </c>
    </row>
    <row r="477" spans="1:4">
      <c r="A477" s="148" t="s">
        <v>126</v>
      </c>
      <c r="B477" s="160">
        <f>SUM(B478:B479)</f>
        <v>142470</v>
      </c>
      <c r="C477" s="160"/>
      <c r="D477" s="160">
        <f t="shared" si="45"/>
        <v>142470</v>
      </c>
    </row>
    <row r="478" spans="1:4">
      <c r="A478" s="149" t="s">
        <v>169</v>
      </c>
      <c r="B478" s="162">
        <v>84470</v>
      </c>
      <c r="C478" s="162"/>
      <c r="D478" s="162">
        <f t="shared" ref="D478:D541" si="46">B478+C478</f>
        <v>84470</v>
      </c>
    </row>
    <row r="479" spans="1:4">
      <c r="A479" s="149" t="s">
        <v>170</v>
      </c>
      <c r="B479" s="162">
        <v>58000</v>
      </c>
      <c r="C479" s="162"/>
      <c r="D479" s="162">
        <f t="shared" si="46"/>
        <v>58000</v>
      </c>
    </row>
    <row r="480" spans="1:4">
      <c r="A480" s="148" t="s">
        <v>133</v>
      </c>
      <c r="B480" s="160">
        <f>B481+B482</f>
        <v>30500</v>
      </c>
      <c r="C480" s="160">
        <f>C481+C482</f>
        <v>23100</v>
      </c>
      <c r="D480" s="160">
        <f t="shared" si="46"/>
        <v>53600</v>
      </c>
    </row>
    <row r="481" spans="1:4">
      <c r="A481" s="151" t="s">
        <v>216</v>
      </c>
      <c r="B481" s="161">
        <v>24000</v>
      </c>
      <c r="C481" s="162">
        <v>22200</v>
      </c>
      <c r="D481" s="161">
        <f t="shared" si="46"/>
        <v>46200</v>
      </c>
    </row>
    <row r="482" spans="1:4">
      <c r="A482" s="151" t="s">
        <v>186</v>
      </c>
      <c r="B482" s="161">
        <v>6500</v>
      </c>
      <c r="C482" s="162">
        <v>900</v>
      </c>
      <c r="D482" s="161">
        <f t="shared" si="46"/>
        <v>7400</v>
      </c>
    </row>
    <row r="483" spans="1:4">
      <c r="A483" s="148" t="s">
        <v>127</v>
      </c>
      <c r="B483" s="160">
        <f>SUM(B484:B485)</f>
        <v>101000</v>
      </c>
      <c r="C483" s="160">
        <f>SUM(C484:C485)</f>
        <v>23000</v>
      </c>
      <c r="D483" s="160">
        <f t="shared" si="46"/>
        <v>124000</v>
      </c>
    </row>
    <row r="484" spans="1:4">
      <c r="A484" s="149" t="s">
        <v>208</v>
      </c>
      <c r="B484" s="162">
        <v>89000</v>
      </c>
      <c r="C484" s="162">
        <v>23000</v>
      </c>
      <c r="D484" s="162">
        <f t="shared" si="46"/>
        <v>112000</v>
      </c>
    </row>
    <row r="485" spans="1:4">
      <c r="A485" s="151" t="s">
        <v>187</v>
      </c>
      <c r="B485" s="161">
        <v>12000</v>
      </c>
      <c r="C485" s="162"/>
      <c r="D485" s="161">
        <f t="shared" si="46"/>
        <v>12000</v>
      </c>
    </row>
    <row r="486" spans="1:4">
      <c r="A486" s="151"/>
      <c r="B486" s="161"/>
      <c r="C486" s="162"/>
      <c r="D486" s="161">
        <f t="shared" si="46"/>
        <v>0</v>
      </c>
    </row>
    <row r="487" spans="1:4">
      <c r="A487" s="153" t="s">
        <v>395</v>
      </c>
      <c r="B487" s="163">
        <f>B488+B490</f>
        <v>47000</v>
      </c>
      <c r="C487" s="160"/>
      <c r="D487" s="163">
        <f t="shared" si="46"/>
        <v>47000</v>
      </c>
    </row>
    <row r="488" spans="1:4">
      <c r="A488" s="148" t="s">
        <v>130</v>
      </c>
      <c r="B488" s="160">
        <f>SUM(B489:B489)</f>
        <v>30000</v>
      </c>
      <c r="C488" s="160"/>
      <c r="D488" s="160">
        <f t="shared" si="46"/>
        <v>30000</v>
      </c>
    </row>
    <row r="489" spans="1:4" ht="25.5">
      <c r="A489" s="151" t="s">
        <v>185</v>
      </c>
      <c r="B489" s="161">
        <v>30000</v>
      </c>
      <c r="C489" s="162"/>
      <c r="D489" s="161">
        <f t="shared" si="46"/>
        <v>30000</v>
      </c>
    </row>
    <row r="490" spans="1:4">
      <c r="A490" s="148" t="s">
        <v>131</v>
      </c>
      <c r="B490" s="160">
        <f>SUM(B491:B491)</f>
        <v>17000</v>
      </c>
      <c r="C490" s="160"/>
      <c r="D490" s="160">
        <f t="shared" si="46"/>
        <v>17000</v>
      </c>
    </row>
    <row r="491" spans="1:4">
      <c r="A491" s="149" t="s">
        <v>181</v>
      </c>
      <c r="B491" s="162">
        <v>17000</v>
      </c>
      <c r="C491" s="162"/>
      <c r="D491" s="162">
        <f t="shared" si="46"/>
        <v>17000</v>
      </c>
    </row>
    <row r="492" spans="1:4">
      <c r="A492" s="149"/>
      <c r="B492" s="162"/>
      <c r="C492" s="162"/>
      <c r="D492" s="162">
        <f t="shared" si="46"/>
        <v>0</v>
      </c>
    </row>
    <row r="493" spans="1:4">
      <c r="A493" s="148" t="s">
        <v>396</v>
      </c>
      <c r="B493" s="160">
        <f>B494</f>
        <v>22800</v>
      </c>
      <c r="C493" s="160">
        <f>C494</f>
        <v>1800</v>
      </c>
      <c r="D493" s="160">
        <f t="shared" si="46"/>
        <v>24600</v>
      </c>
    </row>
    <row r="494" spans="1:4">
      <c r="A494" s="148" t="s">
        <v>136</v>
      </c>
      <c r="B494" s="160">
        <f>SUM(B495:B499)</f>
        <v>22800</v>
      </c>
      <c r="C494" s="160">
        <f>SUM(C495:C499)</f>
        <v>1800</v>
      </c>
      <c r="D494" s="160">
        <f t="shared" si="46"/>
        <v>24600</v>
      </c>
    </row>
    <row r="495" spans="1:4">
      <c r="A495" s="149" t="s">
        <v>217</v>
      </c>
      <c r="B495" s="162">
        <v>6500</v>
      </c>
      <c r="C495" s="162">
        <v>150</v>
      </c>
      <c r="D495" s="162">
        <f t="shared" si="46"/>
        <v>6650</v>
      </c>
    </row>
    <row r="496" spans="1:4">
      <c r="A496" s="151" t="s">
        <v>195</v>
      </c>
      <c r="B496" s="161">
        <v>8000</v>
      </c>
      <c r="C496" s="162"/>
      <c r="D496" s="161">
        <f t="shared" si="46"/>
        <v>8000</v>
      </c>
    </row>
    <row r="497" spans="1:4">
      <c r="A497" s="151" t="s">
        <v>233</v>
      </c>
      <c r="B497" s="161">
        <v>800</v>
      </c>
      <c r="C497" s="162"/>
      <c r="D497" s="161">
        <f t="shared" si="46"/>
        <v>800</v>
      </c>
    </row>
    <row r="498" spans="1:4">
      <c r="A498" s="151" t="s">
        <v>177</v>
      </c>
      <c r="B498" s="161">
        <v>3000</v>
      </c>
      <c r="C498" s="162">
        <v>1050</v>
      </c>
      <c r="D498" s="161">
        <f t="shared" si="46"/>
        <v>4050</v>
      </c>
    </row>
    <row r="499" spans="1:4">
      <c r="A499" s="149" t="s">
        <v>397</v>
      </c>
      <c r="B499" s="162">
        <v>4500</v>
      </c>
      <c r="C499" s="162">
        <v>600</v>
      </c>
      <c r="D499" s="162">
        <f t="shared" si="46"/>
        <v>5100</v>
      </c>
    </row>
    <row r="500" spans="1:4">
      <c r="A500" s="149"/>
      <c r="B500" s="162"/>
      <c r="C500" s="162"/>
      <c r="D500" s="162">
        <f t="shared" si="46"/>
        <v>0</v>
      </c>
    </row>
    <row r="501" spans="1:4">
      <c r="A501" s="150" t="s">
        <v>218</v>
      </c>
      <c r="B501" s="159">
        <f>B503+B518+B526+B534</f>
        <v>4542230</v>
      </c>
      <c r="C501" s="159">
        <f>C503+C518+C526+C534</f>
        <v>274500</v>
      </c>
      <c r="D501" s="159">
        <f t="shared" si="46"/>
        <v>4816730</v>
      </c>
    </row>
    <row r="502" spans="1:4">
      <c r="A502" s="152"/>
      <c r="B502" s="166"/>
      <c r="C502" s="166"/>
      <c r="D502" s="166">
        <f t="shared" si="46"/>
        <v>0</v>
      </c>
    </row>
    <row r="503" spans="1:4">
      <c r="A503" s="148" t="s">
        <v>433</v>
      </c>
      <c r="B503" s="160">
        <f>B504+B507+B511+B514</f>
        <v>4239000</v>
      </c>
      <c r="C503" s="160">
        <f>C504+C507+C511+C514</f>
        <v>269500</v>
      </c>
      <c r="D503" s="160">
        <f t="shared" si="46"/>
        <v>4508500</v>
      </c>
    </row>
    <row r="504" spans="1:4">
      <c r="A504" s="148" t="s">
        <v>134</v>
      </c>
      <c r="B504" s="160">
        <f>SUM(B505:B506)</f>
        <v>40000</v>
      </c>
      <c r="C504" s="160"/>
      <c r="D504" s="160">
        <f t="shared" si="46"/>
        <v>40000</v>
      </c>
    </row>
    <row r="505" spans="1:4">
      <c r="A505" s="149" t="s">
        <v>190</v>
      </c>
      <c r="B505" s="162">
        <v>26000</v>
      </c>
      <c r="C505" s="162"/>
      <c r="D505" s="162">
        <f t="shared" si="46"/>
        <v>26000</v>
      </c>
    </row>
    <row r="506" spans="1:4">
      <c r="A506" s="149" t="s">
        <v>170</v>
      </c>
      <c r="B506" s="162">
        <v>14000</v>
      </c>
      <c r="C506" s="162"/>
      <c r="D506" s="162">
        <f t="shared" si="46"/>
        <v>14000</v>
      </c>
    </row>
    <row r="507" spans="1:4">
      <c r="A507" s="148" t="s">
        <v>126</v>
      </c>
      <c r="B507" s="160">
        <f>SUM(B508:B510)</f>
        <v>2756000</v>
      </c>
      <c r="C507" s="160">
        <f>SUM(C508:C510)</f>
        <v>40500</v>
      </c>
      <c r="D507" s="160">
        <f t="shared" si="46"/>
        <v>2796500</v>
      </c>
    </row>
    <row r="508" spans="1:4">
      <c r="A508" s="149" t="s">
        <v>169</v>
      </c>
      <c r="B508" s="162">
        <v>2673000</v>
      </c>
      <c r="C508" s="162">
        <v>-6000</v>
      </c>
      <c r="D508" s="162">
        <f t="shared" si="46"/>
        <v>2667000</v>
      </c>
    </row>
    <row r="509" spans="1:4">
      <c r="A509" s="149" t="s">
        <v>170</v>
      </c>
      <c r="B509" s="162">
        <v>70000</v>
      </c>
      <c r="C509" s="162">
        <v>4000</v>
      </c>
      <c r="D509" s="162">
        <f t="shared" si="46"/>
        <v>74000</v>
      </c>
    </row>
    <row r="510" spans="1:4">
      <c r="A510" s="149" t="s">
        <v>428</v>
      </c>
      <c r="B510" s="162">
        <v>13000</v>
      </c>
      <c r="C510" s="162">
        <v>42500</v>
      </c>
      <c r="D510" s="162">
        <f t="shared" si="46"/>
        <v>55500</v>
      </c>
    </row>
    <row r="511" spans="1:4">
      <c r="A511" s="148" t="s">
        <v>133</v>
      </c>
      <c r="B511" s="160">
        <f>SUM(B512:B513)</f>
        <v>1100000</v>
      </c>
      <c r="C511" s="160">
        <f>SUM(C512:C513)</f>
        <v>219000</v>
      </c>
      <c r="D511" s="160">
        <f t="shared" si="46"/>
        <v>1319000</v>
      </c>
    </row>
    <row r="512" spans="1:4">
      <c r="A512" s="151" t="s">
        <v>216</v>
      </c>
      <c r="B512" s="161">
        <v>1080000</v>
      </c>
      <c r="C512" s="162">
        <f>205000+14000</f>
        <v>219000</v>
      </c>
      <c r="D512" s="161">
        <f t="shared" si="46"/>
        <v>1299000</v>
      </c>
    </row>
    <row r="513" spans="1:4">
      <c r="A513" s="157" t="s">
        <v>210</v>
      </c>
      <c r="B513" s="161">
        <v>20000</v>
      </c>
      <c r="C513" s="162"/>
      <c r="D513" s="161">
        <f t="shared" si="46"/>
        <v>20000</v>
      </c>
    </row>
    <row r="514" spans="1:4">
      <c r="A514" s="153" t="s">
        <v>127</v>
      </c>
      <c r="B514" s="163">
        <f>SUM(B515:B516)</f>
        <v>343000</v>
      </c>
      <c r="C514" s="160">
        <f>SUM(C515:C516)</f>
        <v>10000</v>
      </c>
      <c r="D514" s="163">
        <f t="shared" si="46"/>
        <v>353000</v>
      </c>
    </row>
    <row r="515" spans="1:4">
      <c r="A515" s="149" t="s">
        <v>208</v>
      </c>
      <c r="B515" s="162">
        <v>340000</v>
      </c>
      <c r="C515" s="162">
        <v>10000</v>
      </c>
      <c r="D515" s="162">
        <f t="shared" si="46"/>
        <v>350000</v>
      </c>
    </row>
    <row r="516" spans="1:4">
      <c r="A516" s="149" t="s">
        <v>187</v>
      </c>
      <c r="B516" s="162">
        <v>3000</v>
      </c>
      <c r="C516" s="162"/>
      <c r="D516" s="162">
        <f t="shared" si="46"/>
        <v>3000</v>
      </c>
    </row>
    <row r="517" spans="1:4">
      <c r="A517" s="152"/>
      <c r="B517" s="166"/>
      <c r="C517" s="166"/>
      <c r="D517" s="166">
        <f t="shared" si="46"/>
        <v>0</v>
      </c>
    </row>
    <row r="518" spans="1:4">
      <c r="A518" s="153" t="s">
        <v>434</v>
      </c>
      <c r="B518" s="163">
        <f>B519</f>
        <v>34500</v>
      </c>
      <c r="C518" s="160">
        <f>C519</f>
        <v>5000</v>
      </c>
      <c r="D518" s="163">
        <f t="shared" si="46"/>
        <v>39500</v>
      </c>
    </row>
    <row r="519" spans="1:4">
      <c r="A519" s="148" t="s">
        <v>136</v>
      </c>
      <c r="B519" s="160">
        <f>SUM(B520:B524)</f>
        <v>34500</v>
      </c>
      <c r="C519" s="160">
        <f>SUM(C520:C524)</f>
        <v>5000</v>
      </c>
      <c r="D519" s="160">
        <f t="shared" si="46"/>
        <v>39500</v>
      </c>
    </row>
    <row r="520" spans="1:4">
      <c r="A520" s="149" t="s">
        <v>217</v>
      </c>
      <c r="B520" s="162">
        <v>3000</v>
      </c>
      <c r="C520" s="162">
        <v>700</v>
      </c>
      <c r="D520" s="162">
        <f t="shared" si="46"/>
        <v>3700</v>
      </c>
    </row>
    <row r="521" spans="1:4">
      <c r="A521" s="151" t="s">
        <v>195</v>
      </c>
      <c r="B521" s="161">
        <v>24000</v>
      </c>
      <c r="C521" s="162">
        <v>4600</v>
      </c>
      <c r="D521" s="161">
        <f t="shared" si="46"/>
        <v>28600</v>
      </c>
    </row>
    <row r="522" spans="1:4">
      <c r="A522" s="151" t="s">
        <v>435</v>
      </c>
      <c r="B522" s="161">
        <v>2300</v>
      </c>
      <c r="C522" s="162"/>
      <c r="D522" s="161">
        <f t="shared" si="46"/>
        <v>2300</v>
      </c>
    </row>
    <row r="523" spans="1:4">
      <c r="A523" s="151" t="s">
        <v>177</v>
      </c>
      <c r="B523" s="161">
        <v>3700</v>
      </c>
      <c r="C523" s="162">
        <v>200</v>
      </c>
      <c r="D523" s="161">
        <f t="shared" si="46"/>
        <v>3900</v>
      </c>
    </row>
    <row r="524" spans="1:4">
      <c r="A524" s="151" t="s">
        <v>233</v>
      </c>
      <c r="B524" s="161">
        <v>1500</v>
      </c>
      <c r="C524" s="162">
        <v>-500</v>
      </c>
      <c r="D524" s="161">
        <f t="shared" si="46"/>
        <v>1000</v>
      </c>
    </row>
    <row r="525" spans="1:4">
      <c r="A525" s="149"/>
      <c r="B525" s="162"/>
      <c r="C525" s="162"/>
      <c r="D525" s="162">
        <f t="shared" si="46"/>
        <v>0</v>
      </c>
    </row>
    <row r="526" spans="1:4">
      <c r="A526" s="148" t="s">
        <v>436</v>
      </c>
      <c r="B526" s="160">
        <f>B527+B530</f>
        <v>178400</v>
      </c>
      <c r="C526" s="160">
        <f>C527+C530</f>
        <v>0</v>
      </c>
      <c r="D526" s="160">
        <f t="shared" si="46"/>
        <v>178400</v>
      </c>
    </row>
    <row r="527" spans="1:4">
      <c r="A527" s="148" t="s">
        <v>126</v>
      </c>
      <c r="B527" s="160">
        <f>SUM(B528:B529)</f>
        <v>56000</v>
      </c>
      <c r="C527" s="160">
        <f>SUM(C528:C529)</f>
        <v>0</v>
      </c>
      <c r="D527" s="160">
        <f t="shared" si="46"/>
        <v>56000</v>
      </c>
    </row>
    <row r="528" spans="1:4">
      <c r="A528" s="149" t="s">
        <v>169</v>
      </c>
      <c r="B528" s="162">
        <v>23000</v>
      </c>
      <c r="C528" s="162"/>
      <c r="D528" s="162">
        <f t="shared" si="46"/>
        <v>23000</v>
      </c>
    </row>
    <row r="529" spans="1:4">
      <c r="A529" s="149" t="s">
        <v>170</v>
      </c>
      <c r="B529" s="162">
        <v>33000</v>
      </c>
      <c r="C529" s="162"/>
      <c r="D529" s="162">
        <f t="shared" si="46"/>
        <v>33000</v>
      </c>
    </row>
    <row r="530" spans="1:4">
      <c r="A530" s="153" t="s">
        <v>127</v>
      </c>
      <c r="B530" s="163">
        <f>SUM(B531:B532)</f>
        <v>122400</v>
      </c>
      <c r="C530" s="160"/>
      <c r="D530" s="163">
        <f t="shared" si="46"/>
        <v>122400</v>
      </c>
    </row>
    <row r="531" spans="1:4">
      <c r="A531" s="149" t="s">
        <v>179</v>
      </c>
      <c r="B531" s="162">
        <v>115000</v>
      </c>
      <c r="C531" s="162">
        <v>-1500</v>
      </c>
      <c r="D531" s="162">
        <f t="shared" si="46"/>
        <v>113500</v>
      </c>
    </row>
    <row r="532" spans="1:4">
      <c r="A532" s="151" t="s">
        <v>219</v>
      </c>
      <c r="B532" s="161">
        <v>7400</v>
      </c>
      <c r="C532" s="162">
        <v>1500</v>
      </c>
      <c r="D532" s="161">
        <f t="shared" si="46"/>
        <v>8900</v>
      </c>
    </row>
    <row r="533" spans="1:4">
      <c r="A533" s="149"/>
      <c r="B533" s="162"/>
      <c r="C533" s="162"/>
      <c r="D533" s="162">
        <f t="shared" si="46"/>
        <v>0</v>
      </c>
    </row>
    <row r="534" spans="1:4">
      <c r="A534" s="148" t="s">
        <v>437</v>
      </c>
      <c r="B534" s="160">
        <f>B535+B541</f>
        <v>90330</v>
      </c>
      <c r="C534" s="160"/>
      <c r="D534" s="160">
        <f t="shared" si="46"/>
        <v>90330</v>
      </c>
    </row>
    <row r="535" spans="1:4">
      <c r="A535" s="148" t="s">
        <v>130</v>
      </c>
      <c r="B535" s="160">
        <f>SUM(B536:B540)</f>
        <v>70800</v>
      </c>
      <c r="C535" s="160"/>
      <c r="D535" s="160">
        <f t="shared" si="46"/>
        <v>70800</v>
      </c>
    </row>
    <row r="536" spans="1:4">
      <c r="A536" s="149" t="s">
        <v>179</v>
      </c>
      <c r="B536" s="162">
        <v>22000</v>
      </c>
      <c r="C536" s="162">
        <v>4000</v>
      </c>
      <c r="D536" s="162">
        <f t="shared" si="46"/>
        <v>26000</v>
      </c>
    </row>
    <row r="537" spans="1:4">
      <c r="A537" s="149" t="s">
        <v>174</v>
      </c>
      <c r="B537" s="162">
        <v>9000</v>
      </c>
      <c r="C537" s="162">
        <v>2000</v>
      </c>
      <c r="D537" s="162">
        <f t="shared" si="46"/>
        <v>11000</v>
      </c>
    </row>
    <row r="538" spans="1:4" ht="25.5">
      <c r="A538" s="151" t="s">
        <v>185</v>
      </c>
      <c r="B538" s="161">
        <v>39000</v>
      </c>
      <c r="C538" s="162">
        <v>-6000</v>
      </c>
      <c r="D538" s="161">
        <f t="shared" si="46"/>
        <v>33000</v>
      </c>
    </row>
    <row r="539" spans="1:4">
      <c r="A539" s="149" t="s">
        <v>178</v>
      </c>
      <c r="B539" s="162">
        <v>500</v>
      </c>
      <c r="C539" s="162"/>
      <c r="D539" s="162">
        <f t="shared" si="46"/>
        <v>500</v>
      </c>
    </row>
    <row r="540" spans="1:4">
      <c r="A540" s="151" t="s">
        <v>425</v>
      </c>
      <c r="B540" s="161">
        <v>300</v>
      </c>
      <c r="C540" s="162"/>
      <c r="D540" s="161">
        <f t="shared" si="46"/>
        <v>300</v>
      </c>
    </row>
    <row r="541" spans="1:4">
      <c r="A541" s="148" t="s">
        <v>131</v>
      </c>
      <c r="B541" s="160">
        <f>SUM(B542:B544)</f>
        <v>19530</v>
      </c>
      <c r="C541" s="160"/>
      <c r="D541" s="160">
        <f t="shared" si="46"/>
        <v>19530</v>
      </c>
    </row>
    <row r="542" spans="1:4" ht="25.5">
      <c r="A542" s="151" t="s">
        <v>438</v>
      </c>
      <c r="B542" s="161">
        <v>19000</v>
      </c>
      <c r="C542" s="162"/>
      <c r="D542" s="161">
        <f t="shared" ref="D542:D604" si="47">B542+C542</f>
        <v>19000</v>
      </c>
    </row>
    <row r="543" spans="1:4">
      <c r="A543" s="151" t="s">
        <v>181</v>
      </c>
      <c r="B543" s="161">
        <v>500</v>
      </c>
      <c r="C543" s="162"/>
      <c r="D543" s="161">
        <f t="shared" si="47"/>
        <v>500</v>
      </c>
    </row>
    <row r="544" spans="1:4" ht="25.5">
      <c r="A544" s="151" t="s">
        <v>180</v>
      </c>
      <c r="B544" s="161">
        <v>30</v>
      </c>
      <c r="C544" s="162"/>
      <c r="D544" s="161">
        <f t="shared" si="47"/>
        <v>30</v>
      </c>
    </row>
    <row r="545" spans="1:4">
      <c r="A545" s="151"/>
      <c r="B545" s="161"/>
      <c r="C545" s="162"/>
      <c r="D545" s="161">
        <f t="shared" si="47"/>
        <v>0</v>
      </c>
    </row>
    <row r="546" spans="1:4">
      <c r="A546" s="150" t="s">
        <v>220</v>
      </c>
      <c r="B546" s="159">
        <f>B548+B563</f>
        <v>287596</v>
      </c>
      <c r="C546" s="159">
        <f>C548+C563</f>
        <v>17900</v>
      </c>
      <c r="D546" s="159">
        <f t="shared" si="47"/>
        <v>305496</v>
      </c>
    </row>
    <row r="547" spans="1:4">
      <c r="A547" s="152"/>
      <c r="B547" s="166"/>
      <c r="C547" s="166"/>
      <c r="D547" s="166">
        <f t="shared" si="47"/>
        <v>0</v>
      </c>
    </row>
    <row r="548" spans="1:4">
      <c r="A548" s="148" t="s">
        <v>439</v>
      </c>
      <c r="B548" s="160">
        <f>B549+B552+B556+B559</f>
        <v>256156</v>
      </c>
      <c r="C548" s="160">
        <f>C549+C552+C556+C559</f>
        <v>20600</v>
      </c>
      <c r="D548" s="160">
        <f t="shared" si="47"/>
        <v>276756</v>
      </c>
    </row>
    <row r="549" spans="1:4">
      <c r="A549" s="148" t="s">
        <v>134</v>
      </c>
      <c r="B549" s="160">
        <f>SUM(B550:B551)</f>
        <v>28400</v>
      </c>
      <c r="C549" s="160"/>
      <c r="D549" s="160">
        <f t="shared" si="47"/>
        <v>28400</v>
      </c>
    </row>
    <row r="550" spans="1:4">
      <c r="A550" s="149" t="s">
        <v>190</v>
      </c>
      <c r="B550" s="162">
        <v>13700</v>
      </c>
      <c r="C550" s="162"/>
      <c r="D550" s="162">
        <f t="shared" si="47"/>
        <v>13700</v>
      </c>
    </row>
    <row r="551" spans="1:4">
      <c r="A551" s="149" t="s">
        <v>170</v>
      </c>
      <c r="B551" s="162">
        <v>14700</v>
      </c>
      <c r="C551" s="162"/>
      <c r="D551" s="162">
        <f t="shared" si="47"/>
        <v>14700</v>
      </c>
    </row>
    <row r="552" spans="1:4">
      <c r="A552" s="148" t="s">
        <v>126</v>
      </c>
      <c r="B552" s="160">
        <f>SUM(B553:B554)</f>
        <v>25885</v>
      </c>
      <c r="C552" s="160">
        <f>SUM(C553:C555)</f>
        <v>3100</v>
      </c>
      <c r="D552" s="160">
        <f t="shared" si="47"/>
        <v>28985</v>
      </c>
    </row>
    <row r="553" spans="1:4">
      <c r="A553" s="149" t="s">
        <v>169</v>
      </c>
      <c r="B553" s="162">
        <v>24385</v>
      </c>
      <c r="C553" s="162">
        <v>500</v>
      </c>
      <c r="D553" s="162">
        <f t="shared" si="47"/>
        <v>24885</v>
      </c>
    </row>
    <row r="554" spans="1:4">
      <c r="A554" s="149" t="s">
        <v>170</v>
      </c>
      <c r="B554" s="162">
        <v>1500</v>
      </c>
      <c r="C554" s="162"/>
      <c r="D554" s="162">
        <f t="shared" si="47"/>
        <v>1500</v>
      </c>
    </row>
    <row r="555" spans="1:4">
      <c r="A555" s="149" t="s">
        <v>428</v>
      </c>
      <c r="B555" s="162"/>
      <c r="C555" s="162">
        <v>2600</v>
      </c>
      <c r="D555" s="162">
        <f t="shared" si="47"/>
        <v>2600</v>
      </c>
    </row>
    <row r="556" spans="1:4">
      <c r="A556" s="148" t="s">
        <v>133</v>
      </c>
      <c r="B556" s="160">
        <f>SUM(B557:B558)</f>
        <v>33171</v>
      </c>
      <c r="C556" s="160">
        <f>SUM(C557:C558)</f>
        <v>1000</v>
      </c>
      <c r="D556" s="160">
        <f t="shared" si="47"/>
        <v>34171</v>
      </c>
    </row>
    <row r="557" spans="1:4">
      <c r="A557" s="151" t="s">
        <v>216</v>
      </c>
      <c r="B557" s="161">
        <v>28171</v>
      </c>
      <c r="C557" s="162">
        <v>1000</v>
      </c>
      <c r="D557" s="161">
        <f t="shared" si="47"/>
        <v>29171</v>
      </c>
    </row>
    <row r="558" spans="1:4">
      <c r="A558" s="157" t="s">
        <v>210</v>
      </c>
      <c r="B558" s="161">
        <v>5000</v>
      </c>
      <c r="C558" s="162"/>
      <c r="D558" s="161">
        <f t="shared" si="47"/>
        <v>5000</v>
      </c>
    </row>
    <row r="559" spans="1:4">
      <c r="A559" s="148" t="s">
        <v>127</v>
      </c>
      <c r="B559" s="160">
        <f>SUM(B560:B561)</f>
        <v>168700</v>
      </c>
      <c r="C559" s="160">
        <f>SUM(C560:C561)</f>
        <v>16500</v>
      </c>
      <c r="D559" s="160">
        <f t="shared" si="47"/>
        <v>185200</v>
      </c>
    </row>
    <row r="560" spans="1:4">
      <c r="A560" s="149" t="s">
        <v>208</v>
      </c>
      <c r="B560" s="162">
        <v>163000</v>
      </c>
      <c r="C560" s="162">
        <v>16000</v>
      </c>
      <c r="D560" s="162">
        <f t="shared" si="47"/>
        <v>179000</v>
      </c>
    </row>
    <row r="561" spans="1:4">
      <c r="A561" s="151" t="s">
        <v>187</v>
      </c>
      <c r="B561" s="161">
        <v>5700</v>
      </c>
      <c r="C561" s="162">
        <v>500</v>
      </c>
      <c r="D561" s="161">
        <f t="shared" si="47"/>
        <v>6200</v>
      </c>
    </row>
    <row r="562" spans="1:4">
      <c r="A562" s="148"/>
      <c r="B562" s="160"/>
      <c r="C562" s="160"/>
      <c r="D562" s="160">
        <f t="shared" si="47"/>
        <v>0</v>
      </c>
    </row>
    <row r="563" spans="1:4">
      <c r="A563" s="355" t="s">
        <v>440</v>
      </c>
      <c r="B563" s="456">
        <f>B564+B567</f>
        <v>31440</v>
      </c>
      <c r="C563" s="456">
        <f>C564+C567</f>
        <v>-2700</v>
      </c>
      <c r="D563" s="456">
        <f t="shared" si="47"/>
        <v>28740</v>
      </c>
    </row>
    <row r="564" spans="1:4">
      <c r="A564" s="355" t="s">
        <v>131</v>
      </c>
      <c r="B564" s="456">
        <f>SUM(B565:B566)</f>
        <v>2240</v>
      </c>
      <c r="C564" s="456"/>
      <c r="D564" s="456">
        <f t="shared" si="47"/>
        <v>2240</v>
      </c>
    </row>
    <row r="565" spans="1:4" ht="25.5">
      <c r="A565" s="356" t="s">
        <v>438</v>
      </c>
      <c r="B565" s="457">
        <v>220</v>
      </c>
      <c r="C565" s="501"/>
      <c r="D565" s="457">
        <f t="shared" si="47"/>
        <v>220</v>
      </c>
    </row>
    <row r="566" spans="1:4">
      <c r="A566" s="356" t="s">
        <v>181</v>
      </c>
      <c r="B566" s="457">
        <v>2020</v>
      </c>
      <c r="C566" s="501"/>
      <c r="D566" s="457">
        <f t="shared" si="47"/>
        <v>2020</v>
      </c>
    </row>
    <row r="567" spans="1:4">
      <c r="A567" s="148" t="s">
        <v>136</v>
      </c>
      <c r="B567" s="160">
        <f>SUM(B568:B570)</f>
        <v>29200</v>
      </c>
      <c r="C567" s="160">
        <f>SUM(C568:C570)</f>
        <v>-2700</v>
      </c>
      <c r="D567" s="160">
        <f t="shared" si="47"/>
        <v>26500</v>
      </c>
    </row>
    <row r="568" spans="1:4">
      <c r="A568" s="149" t="s">
        <v>217</v>
      </c>
      <c r="B568" s="162">
        <v>5200</v>
      </c>
      <c r="C568" s="162">
        <v>800</v>
      </c>
      <c r="D568" s="162">
        <f t="shared" si="47"/>
        <v>6000</v>
      </c>
    </row>
    <row r="569" spans="1:4">
      <c r="A569" s="149" t="s">
        <v>195</v>
      </c>
      <c r="B569" s="162">
        <v>11000</v>
      </c>
      <c r="C569" s="162"/>
      <c r="D569" s="162">
        <f t="shared" si="47"/>
        <v>11000</v>
      </c>
    </row>
    <row r="570" spans="1:4">
      <c r="A570" s="149" t="s">
        <v>233</v>
      </c>
      <c r="B570" s="162">
        <v>13000</v>
      </c>
      <c r="C570" s="162">
        <v>-3500</v>
      </c>
      <c r="D570" s="162">
        <f t="shared" si="47"/>
        <v>9500</v>
      </c>
    </row>
    <row r="571" spans="1:4">
      <c r="A571" s="151"/>
      <c r="B571" s="161"/>
      <c r="C571" s="162"/>
      <c r="D571" s="161">
        <f t="shared" si="47"/>
        <v>0</v>
      </c>
    </row>
    <row r="572" spans="1:4">
      <c r="A572" s="150" t="s">
        <v>221</v>
      </c>
      <c r="B572" s="159">
        <f>B574+B588+B595+B604+B610+B617+B625</f>
        <v>1351890</v>
      </c>
      <c r="C572" s="159">
        <f>C574+C588+C595+C604+C610+C617+C625</f>
        <v>4850</v>
      </c>
      <c r="D572" s="159">
        <f t="shared" si="47"/>
        <v>1356740</v>
      </c>
    </row>
    <row r="573" spans="1:4">
      <c r="A573" s="152"/>
      <c r="B573" s="166"/>
      <c r="C573" s="166"/>
      <c r="D573" s="166">
        <f t="shared" si="47"/>
        <v>0</v>
      </c>
    </row>
    <row r="574" spans="1:4">
      <c r="A574" s="148" t="s">
        <v>222</v>
      </c>
      <c r="B574" s="160">
        <f>B575+B578+B581+B585</f>
        <v>956350</v>
      </c>
      <c r="C574" s="160">
        <f>C575+C578+C581+C585</f>
        <v>-13650</v>
      </c>
      <c r="D574" s="160">
        <f t="shared" si="47"/>
        <v>942700</v>
      </c>
    </row>
    <row r="575" spans="1:4">
      <c r="A575" s="148" t="s">
        <v>134</v>
      </c>
      <c r="B575" s="160">
        <f>B576+B577</f>
        <v>464800</v>
      </c>
      <c r="C575" s="160">
        <f>C576+C577</f>
        <v>0</v>
      </c>
      <c r="D575" s="160">
        <f t="shared" si="47"/>
        <v>464800</v>
      </c>
    </row>
    <row r="576" spans="1:4">
      <c r="A576" s="149" t="s">
        <v>190</v>
      </c>
      <c r="B576" s="162">
        <v>179800</v>
      </c>
      <c r="C576" s="162"/>
      <c r="D576" s="162">
        <f t="shared" si="47"/>
        <v>179800</v>
      </c>
    </row>
    <row r="577" spans="1:4">
      <c r="A577" s="149" t="s">
        <v>170</v>
      </c>
      <c r="B577" s="162">
        <v>285000</v>
      </c>
      <c r="C577" s="162"/>
      <c r="D577" s="162">
        <f t="shared" si="47"/>
        <v>285000</v>
      </c>
    </row>
    <row r="578" spans="1:4">
      <c r="A578" s="148" t="s">
        <v>126</v>
      </c>
      <c r="B578" s="160">
        <f>B579+B580</f>
        <v>140380</v>
      </c>
      <c r="C578" s="160">
        <f>C579+C580</f>
        <v>0</v>
      </c>
      <c r="D578" s="160">
        <f t="shared" si="47"/>
        <v>140380</v>
      </c>
    </row>
    <row r="579" spans="1:4">
      <c r="A579" s="149" t="s">
        <v>169</v>
      </c>
      <c r="B579" s="162">
        <v>97380</v>
      </c>
      <c r="C579" s="162"/>
      <c r="D579" s="162">
        <f t="shared" si="47"/>
        <v>97380</v>
      </c>
    </row>
    <row r="580" spans="1:4">
      <c r="A580" s="149" t="s">
        <v>170</v>
      </c>
      <c r="B580" s="162">
        <v>43000</v>
      </c>
      <c r="C580" s="162"/>
      <c r="D580" s="162">
        <f t="shared" si="47"/>
        <v>43000</v>
      </c>
    </row>
    <row r="581" spans="1:4">
      <c r="A581" s="148" t="s">
        <v>133</v>
      </c>
      <c r="B581" s="160">
        <f>B582+B583+B584</f>
        <v>201170</v>
      </c>
      <c r="C581" s="160">
        <f>C582+C583+C584</f>
        <v>-35150</v>
      </c>
      <c r="D581" s="160">
        <f t="shared" si="47"/>
        <v>166020</v>
      </c>
    </row>
    <row r="582" spans="1:4">
      <c r="A582" s="151" t="s">
        <v>216</v>
      </c>
      <c r="B582" s="161">
        <v>92050</v>
      </c>
      <c r="C582" s="162">
        <v>-21420</v>
      </c>
      <c r="D582" s="161">
        <f t="shared" si="47"/>
        <v>70630</v>
      </c>
    </row>
    <row r="583" spans="1:4">
      <c r="A583" s="151" t="s">
        <v>186</v>
      </c>
      <c r="B583" s="161">
        <v>108470</v>
      </c>
      <c r="C583" s="162">
        <v>-13730</v>
      </c>
      <c r="D583" s="161">
        <f t="shared" si="47"/>
        <v>94740</v>
      </c>
    </row>
    <row r="584" spans="1:4">
      <c r="A584" s="157" t="s">
        <v>210</v>
      </c>
      <c r="B584" s="161">
        <v>650</v>
      </c>
      <c r="C584" s="162"/>
      <c r="D584" s="161">
        <f t="shared" si="47"/>
        <v>650</v>
      </c>
    </row>
    <row r="585" spans="1:4">
      <c r="A585" s="148" t="s">
        <v>127</v>
      </c>
      <c r="B585" s="160">
        <f>B586</f>
        <v>150000</v>
      </c>
      <c r="C585" s="160">
        <f>C586</f>
        <v>21500</v>
      </c>
      <c r="D585" s="160">
        <f t="shared" si="47"/>
        <v>171500</v>
      </c>
    </row>
    <row r="586" spans="1:4">
      <c r="A586" s="149" t="s">
        <v>208</v>
      </c>
      <c r="B586" s="162">
        <v>150000</v>
      </c>
      <c r="C586" s="162">
        <v>21500</v>
      </c>
      <c r="D586" s="162">
        <f t="shared" si="47"/>
        <v>171500</v>
      </c>
    </row>
    <row r="587" spans="1:4">
      <c r="A587" s="151"/>
      <c r="B587" s="161"/>
      <c r="C587" s="162"/>
      <c r="D587" s="161">
        <f t="shared" si="47"/>
        <v>0</v>
      </c>
    </row>
    <row r="588" spans="1:4">
      <c r="A588" s="153" t="s">
        <v>223</v>
      </c>
      <c r="B588" s="163">
        <f>B589+B591</f>
        <v>136770</v>
      </c>
      <c r="C588" s="160">
        <f>C589+C591</f>
        <v>7000</v>
      </c>
      <c r="D588" s="163">
        <f t="shared" si="47"/>
        <v>143770</v>
      </c>
    </row>
    <row r="589" spans="1:4">
      <c r="A589" s="148" t="s">
        <v>131</v>
      </c>
      <c r="B589" s="160">
        <f>B590</f>
        <v>77000</v>
      </c>
      <c r="C589" s="160">
        <f>C590</f>
        <v>7000</v>
      </c>
      <c r="D589" s="160">
        <f t="shared" si="47"/>
        <v>84000</v>
      </c>
    </row>
    <row r="590" spans="1:4">
      <c r="A590" s="149" t="s">
        <v>189</v>
      </c>
      <c r="B590" s="162">
        <v>77000</v>
      </c>
      <c r="C590" s="162">
        <v>7000</v>
      </c>
      <c r="D590" s="162">
        <f t="shared" si="47"/>
        <v>84000</v>
      </c>
    </row>
    <row r="591" spans="1:4">
      <c r="A591" s="148" t="s">
        <v>126</v>
      </c>
      <c r="B591" s="160">
        <f>B592+B593</f>
        <v>59770</v>
      </c>
      <c r="C591" s="160"/>
      <c r="D591" s="160">
        <f t="shared" si="47"/>
        <v>59770</v>
      </c>
    </row>
    <row r="592" spans="1:4">
      <c r="A592" s="149" t="s">
        <v>169</v>
      </c>
      <c r="B592" s="162">
        <v>47770</v>
      </c>
      <c r="C592" s="162"/>
      <c r="D592" s="162">
        <f t="shared" si="47"/>
        <v>47770</v>
      </c>
    </row>
    <row r="593" spans="1:4">
      <c r="A593" s="149" t="s">
        <v>170</v>
      </c>
      <c r="B593" s="162">
        <v>12000</v>
      </c>
      <c r="C593" s="162"/>
      <c r="D593" s="162">
        <f t="shared" si="47"/>
        <v>12000</v>
      </c>
    </row>
    <row r="594" spans="1:4">
      <c r="A594" s="149"/>
      <c r="B594" s="162"/>
      <c r="C594" s="162"/>
      <c r="D594" s="162">
        <f t="shared" si="47"/>
        <v>0</v>
      </c>
    </row>
    <row r="595" spans="1:4">
      <c r="A595" s="148" t="s">
        <v>224</v>
      </c>
      <c r="B595" s="160">
        <f>B596+B600</f>
        <v>121000</v>
      </c>
      <c r="C595" s="160">
        <f>C596+C600</f>
        <v>12000</v>
      </c>
      <c r="D595" s="160">
        <f t="shared" si="47"/>
        <v>133000</v>
      </c>
    </row>
    <row r="596" spans="1:4">
      <c r="A596" s="148" t="s">
        <v>130</v>
      </c>
      <c r="B596" s="160">
        <f>B597+B598+B599</f>
        <v>60500</v>
      </c>
      <c r="C596" s="160">
        <f>C597+C598+C599</f>
        <v>12000</v>
      </c>
      <c r="D596" s="160">
        <f t="shared" si="47"/>
        <v>72500</v>
      </c>
    </row>
    <row r="597" spans="1:4">
      <c r="A597" s="149" t="s">
        <v>179</v>
      </c>
      <c r="B597" s="162">
        <v>5500</v>
      </c>
      <c r="C597" s="162">
        <v>6000</v>
      </c>
      <c r="D597" s="162">
        <f t="shared" si="47"/>
        <v>11500</v>
      </c>
    </row>
    <row r="598" spans="1:4" ht="25.5">
      <c r="A598" s="151" t="s">
        <v>185</v>
      </c>
      <c r="B598" s="161">
        <v>47000</v>
      </c>
      <c r="C598" s="162">
        <v>5000</v>
      </c>
      <c r="D598" s="161">
        <f t="shared" si="47"/>
        <v>52000</v>
      </c>
    </row>
    <row r="599" spans="1:4" ht="25.5">
      <c r="A599" s="151" t="s">
        <v>178</v>
      </c>
      <c r="B599" s="161">
        <v>8000</v>
      </c>
      <c r="C599" s="162">
        <v>1000</v>
      </c>
      <c r="D599" s="161">
        <f t="shared" si="47"/>
        <v>9000</v>
      </c>
    </row>
    <row r="600" spans="1:4">
      <c r="A600" s="148" t="s">
        <v>126</v>
      </c>
      <c r="B600" s="160">
        <f>B601+B602</f>
        <v>60500</v>
      </c>
      <c r="C600" s="160"/>
      <c r="D600" s="160">
        <f t="shared" si="47"/>
        <v>60500</v>
      </c>
    </row>
    <row r="601" spans="1:4">
      <c r="A601" s="149" t="s">
        <v>169</v>
      </c>
      <c r="B601" s="162">
        <v>46000</v>
      </c>
      <c r="C601" s="162"/>
      <c r="D601" s="162">
        <f t="shared" si="47"/>
        <v>46000</v>
      </c>
    </row>
    <row r="602" spans="1:4">
      <c r="A602" s="149" t="s">
        <v>170</v>
      </c>
      <c r="B602" s="162">
        <v>14500</v>
      </c>
      <c r="C602" s="162"/>
      <c r="D602" s="162">
        <f t="shared" si="47"/>
        <v>14500</v>
      </c>
    </row>
    <row r="603" spans="1:4">
      <c r="A603" s="149"/>
      <c r="B603" s="162"/>
      <c r="C603" s="162"/>
      <c r="D603" s="162">
        <f t="shared" si="47"/>
        <v>0</v>
      </c>
    </row>
    <row r="604" spans="1:4">
      <c r="A604" s="148" t="s">
        <v>225</v>
      </c>
      <c r="B604" s="160">
        <f>B605</f>
        <v>25000</v>
      </c>
      <c r="C604" s="160">
        <f>C605</f>
        <v>2000</v>
      </c>
      <c r="D604" s="160">
        <f t="shared" si="47"/>
        <v>27000</v>
      </c>
    </row>
    <row r="605" spans="1:4">
      <c r="A605" s="148" t="s">
        <v>136</v>
      </c>
      <c r="B605" s="160">
        <f>B608+B607+B606</f>
        <v>25000</v>
      </c>
      <c r="C605" s="160">
        <f>C608+C607+C606</f>
        <v>2000</v>
      </c>
      <c r="D605" s="160">
        <f t="shared" ref="D605:D662" si="48">B605+C605</f>
        <v>27000</v>
      </c>
    </row>
    <row r="606" spans="1:4">
      <c r="A606" s="149" t="s">
        <v>217</v>
      </c>
      <c r="B606" s="162">
        <v>14000</v>
      </c>
      <c r="C606" s="162">
        <v>2000</v>
      </c>
      <c r="D606" s="162">
        <f t="shared" si="48"/>
        <v>16000</v>
      </c>
    </row>
    <row r="607" spans="1:4">
      <c r="A607" s="151" t="s">
        <v>177</v>
      </c>
      <c r="B607" s="161">
        <v>7500</v>
      </c>
      <c r="C607" s="162"/>
      <c r="D607" s="161">
        <f t="shared" si="48"/>
        <v>7500</v>
      </c>
    </row>
    <row r="608" spans="1:4">
      <c r="A608" s="151" t="s">
        <v>233</v>
      </c>
      <c r="B608" s="161">
        <v>3500</v>
      </c>
      <c r="C608" s="162"/>
      <c r="D608" s="161">
        <f t="shared" si="48"/>
        <v>3500</v>
      </c>
    </row>
    <row r="609" spans="1:4">
      <c r="A609" s="149"/>
      <c r="B609" s="162"/>
      <c r="C609" s="162"/>
      <c r="D609" s="162">
        <f t="shared" si="48"/>
        <v>0</v>
      </c>
    </row>
    <row r="610" spans="1:4">
      <c r="A610" s="148" t="s">
        <v>226</v>
      </c>
      <c r="B610" s="160">
        <f>B611</f>
        <v>18500</v>
      </c>
      <c r="C610" s="160">
        <f>C611</f>
        <v>-8500</v>
      </c>
      <c r="D610" s="160">
        <f t="shared" si="48"/>
        <v>10000</v>
      </c>
    </row>
    <row r="611" spans="1:4">
      <c r="A611" s="148" t="s">
        <v>131</v>
      </c>
      <c r="B611" s="160">
        <f>B612+B613+B615+B614</f>
        <v>18500</v>
      </c>
      <c r="C611" s="160">
        <f>C612+C613+C615+C614</f>
        <v>-8500</v>
      </c>
      <c r="D611" s="160">
        <f t="shared" si="48"/>
        <v>10000</v>
      </c>
    </row>
    <row r="612" spans="1:4">
      <c r="A612" s="151" t="s">
        <v>177</v>
      </c>
      <c r="B612" s="161">
        <v>2700</v>
      </c>
      <c r="C612" s="162">
        <v>2800</v>
      </c>
      <c r="D612" s="161">
        <f t="shared" si="48"/>
        <v>5500</v>
      </c>
    </row>
    <row r="613" spans="1:4" ht="25.5">
      <c r="A613" s="151" t="s">
        <v>438</v>
      </c>
      <c r="B613" s="161">
        <v>4500</v>
      </c>
      <c r="C613" s="162">
        <v>-3300</v>
      </c>
      <c r="D613" s="161">
        <f t="shared" si="48"/>
        <v>1200</v>
      </c>
    </row>
    <row r="614" spans="1:4" ht="25.5">
      <c r="A614" s="151" t="s">
        <v>180</v>
      </c>
      <c r="B614" s="161">
        <v>500</v>
      </c>
      <c r="C614" s="162"/>
      <c r="D614" s="161">
        <f t="shared" si="48"/>
        <v>500</v>
      </c>
    </row>
    <row r="615" spans="1:4">
      <c r="A615" s="151" t="s">
        <v>181</v>
      </c>
      <c r="B615" s="161">
        <v>10800</v>
      </c>
      <c r="C615" s="162">
        <v>-8000</v>
      </c>
      <c r="D615" s="161">
        <f t="shared" si="48"/>
        <v>2800</v>
      </c>
    </row>
    <row r="616" spans="1:4">
      <c r="A616" s="151"/>
      <c r="B616" s="161"/>
      <c r="C616" s="162"/>
      <c r="D616" s="161">
        <f t="shared" si="48"/>
        <v>0</v>
      </c>
    </row>
    <row r="617" spans="1:4">
      <c r="A617" s="148" t="s">
        <v>227</v>
      </c>
      <c r="B617" s="160">
        <f>B621+B618</f>
        <v>88070</v>
      </c>
      <c r="C617" s="160"/>
      <c r="D617" s="160">
        <f t="shared" si="48"/>
        <v>88070</v>
      </c>
    </row>
    <row r="618" spans="1:4">
      <c r="A618" s="148" t="s">
        <v>126</v>
      </c>
      <c r="B618" s="160">
        <f>B619+B620</f>
        <v>3070</v>
      </c>
      <c r="C618" s="160"/>
      <c r="D618" s="160">
        <f t="shared" si="48"/>
        <v>3070</v>
      </c>
    </row>
    <row r="619" spans="1:4">
      <c r="A619" s="149" t="s">
        <v>169</v>
      </c>
      <c r="B619" s="162">
        <v>2450</v>
      </c>
      <c r="C619" s="162"/>
      <c r="D619" s="162">
        <f t="shared" si="48"/>
        <v>2450</v>
      </c>
    </row>
    <row r="620" spans="1:4">
      <c r="A620" s="149" t="s">
        <v>170</v>
      </c>
      <c r="B620" s="162">
        <v>620</v>
      </c>
      <c r="C620" s="162"/>
      <c r="D620" s="162">
        <f t="shared" si="48"/>
        <v>620</v>
      </c>
    </row>
    <row r="621" spans="1:4">
      <c r="A621" s="153" t="s">
        <v>127</v>
      </c>
      <c r="B621" s="163">
        <f>B622+B623</f>
        <v>85000</v>
      </c>
      <c r="C621" s="160"/>
      <c r="D621" s="163">
        <f t="shared" si="48"/>
        <v>85000</v>
      </c>
    </row>
    <row r="622" spans="1:4">
      <c r="A622" s="149" t="s">
        <v>179</v>
      </c>
      <c r="B622" s="162">
        <v>76500</v>
      </c>
      <c r="C622" s="162"/>
      <c r="D622" s="162">
        <f t="shared" si="48"/>
        <v>76500</v>
      </c>
    </row>
    <row r="623" spans="1:4">
      <c r="A623" s="151" t="s">
        <v>219</v>
      </c>
      <c r="B623" s="161">
        <v>8500</v>
      </c>
      <c r="C623" s="162"/>
      <c r="D623" s="161">
        <f t="shared" si="48"/>
        <v>8500</v>
      </c>
    </row>
    <row r="624" spans="1:4">
      <c r="A624" s="149"/>
      <c r="B624" s="162"/>
      <c r="C624" s="162"/>
      <c r="D624" s="162">
        <f t="shared" si="48"/>
        <v>0</v>
      </c>
    </row>
    <row r="625" spans="1:4">
      <c r="A625" s="148" t="s">
        <v>228</v>
      </c>
      <c r="B625" s="160">
        <f>B626</f>
        <v>6200</v>
      </c>
      <c r="C625" s="160">
        <f>C626+C631</f>
        <v>6000</v>
      </c>
      <c r="D625" s="160">
        <f t="shared" si="48"/>
        <v>12200</v>
      </c>
    </row>
    <row r="626" spans="1:4">
      <c r="A626" s="148" t="s">
        <v>136</v>
      </c>
      <c r="B626" s="160">
        <f>B627+B628+B629+B630</f>
        <v>6200</v>
      </c>
      <c r="C626" s="160">
        <f>C627+C628+C629+C630</f>
        <v>5250</v>
      </c>
      <c r="D626" s="160">
        <f t="shared" si="48"/>
        <v>11450</v>
      </c>
    </row>
    <row r="627" spans="1:4">
      <c r="A627" s="118" t="s">
        <v>195</v>
      </c>
      <c r="B627" s="120">
        <v>700</v>
      </c>
      <c r="C627" s="120">
        <v>200</v>
      </c>
      <c r="D627" s="120">
        <f t="shared" si="48"/>
        <v>900</v>
      </c>
    </row>
    <row r="628" spans="1:4">
      <c r="A628" s="151" t="s">
        <v>233</v>
      </c>
      <c r="B628" s="161">
        <v>800</v>
      </c>
      <c r="C628" s="162">
        <v>1300</v>
      </c>
      <c r="D628" s="161">
        <f t="shared" si="48"/>
        <v>2100</v>
      </c>
    </row>
    <row r="629" spans="1:4">
      <c r="A629" s="118" t="s">
        <v>199</v>
      </c>
      <c r="B629" s="120">
        <v>1800</v>
      </c>
      <c r="C629" s="120">
        <v>-450</v>
      </c>
      <c r="D629" s="120">
        <f t="shared" si="48"/>
        <v>1350</v>
      </c>
    </row>
    <row r="630" spans="1:4">
      <c r="A630" s="118" t="s">
        <v>229</v>
      </c>
      <c r="B630" s="120">
        <v>2900</v>
      </c>
      <c r="C630" s="120">
        <v>4200</v>
      </c>
      <c r="D630" s="120">
        <f t="shared" si="48"/>
        <v>7100</v>
      </c>
    </row>
    <row r="631" spans="1:4">
      <c r="A631" s="148" t="s">
        <v>131</v>
      </c>
      <c r="B631" s="120"/>
      <c r="C631" s="571">
        <v>750</v>
      </c>
      <c r="D631" s="120">
        <f t="shared" si="48"/>
        <v>750</v>
      </c>
    </row>
    <row r="632" spans="1:4">
      <c r="A632" s="149" t="s">
        <v>181</v>
      </c>
      <c r="B632" s="120"/>
      <c r="C632" s="571">
        <v>750</v>
      </c>
      <c r="D632" s="120">
        <f t="shared" si="48"/>
        <v>750</v>
      </c>
    </row>
    <row r="633" spans="1:4">
      <c r="A633" s="118"/>
      <c r="B633" s="120"/>
      <c r="C633" s="162"/>
      <c r="D633" s="120">
        <f t="shared" si="48"/>
        <v>0</v>
      </c>
    </row>
    <row r="634" spans="1:4">
      <c r="A634" s="150" t="s">
        <v>230</v>
      </c>
      <c r="B634" s="159">
        <f>B636+B651+B661</f>
        <v>620600</v>
      </c>
      <c r="C634" s="159">
        <f>C636+C651+C661</f>
        <v>29630</v>
      </c>
      <c r="D634" s="159">
        <f t="shared" si="48"/>
        <v>650230</v>
      </c>
    </row>
    <row r="635" spans="1:4">
      <c r="A635" s="152"/>
      <c r="B635" s="166"/>
      <c r="C635" s="166"/>
      <c r="D635" s="166">
        <f t="shared" si="48"/>
        <v>0</v>
      </c>
    </row>
    <row r="636" spans="1:4">
      <c r="A636" s="148" t="s">
        <v>541</v>
      </c>
      <c r="B636" s="160">
        <f>B637+B640+B646+B643</f>
        <v>525100</v>
      </c>
      <c r="C636" s="160">
        <f>C637+C640+C646+C643</f>
        <v>18500</v>
      </c>
      <c r="D636" s="160">
        <f t="shared" si="48"/>
        <v>543600</v>
      </c>
    </row>
    <row r="637" spans="1:4">
      <c r="A637" s="148" t="s">
        <v>134</v>
      </c>
      <c r="B637" s="160">
        <f>SUM(B638:B639)</f>
        <v>41600</v>
      </c>
      <c r="C637" s="160"/>
      <c r="D637" s="160">
        <f t="shared" si="48"/>
        <v>41600</v>
      </c>
    </row>
    <row r="638" spans="1:4">
      <c r="A638" s="149" t="s">
        <v>190</v>
      </c>
      <c r="B638" s="162">
        <v>18500</v>
      </c>
      <c r="C638" s="162"/>
      <c r="D638" s="162">
        <f t="shared" si="48"/>
        <v>18500</v>
      </c>
    </row>
    <row r="639" spans="1:4">
      <c r="A639" s="149" t="s">
        <v>170</v>
      </c>
      <c r="B639" s="162">
        <v>23100</v>
      </c>
      <c r="C639" s="162"/>
      <c r="D639" s="162">
        <f t="shared" si="48"/>
        <v>23100</v>
      </c>
    </row>
    <row r="640" spans="1:4">
      <c r="A640" s="148" t="s">
        <v>126</v>
      </c>
      <c r="B640" s="160">
        <f>SUM(B641:B642)</f>
        <v>290300</v>
      </c>
      <c r="C640" s="160"/>
      <c r="D640" s="160">
        <f t="shared" si="48"/>
        <v>290300</v>
      </c>
    </row>
    <row r="641" spans="1:4">
      <c r="A641" s="149" t="s">
        <v>169</v>
      </c>
      <c r="B641" s="162">
        <v>211700</v>
      </c>
      <c r="C641" s="162"/>
      <c r="D641" s="162">
        <f t="shared" si="48"/>
        <v>211700</v>
      </c>
    </row>
    <row r="642" spans="1:4">
      <c r="A642" s="149" t="s">
        <v>170</v>
      </c>
      <c r="B642" s="162">
        <v>78600</v>
      </c>
      <c r="C642" s="162"/>
      <c r="D642" s="162">
        <f t="shared" si="48"/>
        <v>78600</v>
      </c>
    </row>
    <row r="643" spans="1:4">
      <c r="A643" s="148" t="s">
        <v>133</v>
      </c>
      <c r="B643" s="160">
        <f>SUM(B644:B645)</f>
        <v>106000</v>
      </c>
      <c r="C643" s="160">
        <f>SUM(C644:C645)</f>
        <v>6500</v>
      </c>
      <c r="D643" s="160">
        <f t="shared" si="48"/>
        <v>112500</v>
      </c>
    </row>
    <row r="644" spans="1:4">
      <c r="A644" s="151" t="s">
        <v>216</v>
      </c>
      <c r="B644" s="161">
        <v>66000</v>
      </c>
      <c r="C644" s="162"/>
      <c r="D644" s="161">
        <f t="shared" si="48"/>
        <v>66000</v>
      </c>
    </row>
    <row r="645" spans="1:4">
      <c r="A645" s="151" t="s">
        <v>186</v>
      </c>
      <c r="B645" s="161">
        <v>40000</v>
      </c>
      <c r="C645" s="162">
        <v>6500</v>
      </c>
      <c r="D645" s="161">
        <f t="shared" si="48"/>
        <v>46500</v>
      </c>
    </row>
    <row r="646" spans="1:4">
      <c r="A646" s="153" t="s">
        <v>127</v>
      </c>
      <c r="B646" s="163">
        <f>SUM(B647:B649)</f>
        <v>87200</v>
      </c>
      <c r="C646" s="160">
        <f>SUM(C647:C649)</f>
        <v>12000</v>
      </c>
      <c r="D646" s="163">
        <f t="shared" si="48"/>
        <v>99200</v>
      </c>
    </row>
    <row r="647" spans="1:4">
      <c r="A647" s="149" t="s">
        <v>208</v>
      </c>
      <c r="B647" s="162">
        <v>70000</v>
      </c>
      <c r="C647" s="162">
        <v>12000</v>
      </c>
      <c r="D647" s="162">
        <f t="shared" si="48"/>
        <v>82000</v>
      </c>
    </row>
    <row r="648" spans="1:4">
      <c r="A648" s="151" t="s">
        <v>187</v>
      </c>
      <c r="B648" s="161">
        <v>15000</v>
      </c>
      <c r="C648" s="162"/>
      <c r="D648" s="161">
        <f t="shared" si="48"/>
        <v>15000</v>
      </c>
    </row>
    <row r="649" spans="1:4" ht="25.5">
      <c r="A649" s="151" t="s">
        <v>172</v>
      </c>
      <c r="B649" s="161">
        <v>2200</v>
      </c>
      <c r="C649" s="162"/>
      <c r="D649" s="161">
        <f t="shared" si="48"/>
        <v>2200</v>
      </c>
    </row>
    <row r="650" spans="1:4">
      <c r="A650" s="151"/>
      <c r="B650" s="161"/>
      <c r="C650" s="162"/>
      <c r="D650" s="161">
        <f t="shared" si="48"/>
        <v>0</v>
      </c>
    </row>
    <row r="651" spans="1:4">
      <c r="A651" s="148" t="s">
        <v>542</v>
      </c>
      <c r="B651" s="160">
        <f>B652+B657</f>
        <v>18600</v>
      </c>
      <c r="C651" s="160">
        <f>C652+C657</f>
        <v>11130</v>
      </c>
      <c r="D651" s="160">
        <f t="shared" si="48"/>
        <v>29730</v>
      </c>
    </row>
    <row r="652" spans="1:4">
      <c r="A652" s="148" t="s">
        <v>130</v>
      </c>
      <c r="B652" s="160">
        <f>SUM(B653:B656)</f>
        <v>13000</v>
      </c>
      <c r="C652" s="160">
        <f>SUM(C653:C656)</f>
        <v>6370</v>
      </c>
      <c r="D652" s="160">
        <f t="shared" si="48"/>
        <v>19370</v>
      </c>
    </row>
    <row r="653" spans="1:4">
      <c r="A653" s="149" t="s">
        <v>179</v>
      </c>
      <c r="B653" s="162">
        <v>3000</v>
      </c>
      <c r="C653" s="162">
        <v>-1000</v>
      </c>
      <c r="D653" s="162">
        <f t="shared" si="48"/>
        <v>2000</v>
      </c>
    </row>
    <row r="654" spans="1:4" ht="25.5">
      <c r="A654" s="151" t="s">
        <v>185</v>
      </c>
      <c r="B654" s="161">
        <v>10000</v>
      </c>
      <c r="C654" s="162">
        <v>6810</v>
      </c>
      <c r="D654" s="161">
        <f t="shared" si="48"/>
        <v>16810</v>
      </c>
    </row>
    <row r="655" spans="1:4" ht="25.5">
      <c r="A655" s="151" t="s">
        <v>178</v>
      </c>
      <c r="B655" s="161"/>
      <c r="C655" s="521">
        <v>500</v>
      </c>
      <c r="D655" s="161">
        <f t="shared" si="48"/>
        <v>500</v>
      </c>
    </row>
    <row r="656" spans="1:4">
      <c r="A656" s="151" t="s">
        <v>380</v>
      </c>
      <c r="B656" s="161"/>
      <c r="C656" s="521">
        <v>60</v>
      </c>
      <c r="D656" s="161">
        <f t="shared" si="48"/>
        <v>60</v>
      </c>
    </row>
    <row r="657" spans="1:4">
      <c r="A657" s="148" t="s">
        <v>131</v>
      </c>
      <c r="B657" s="160">
        <f>SUM(B658:B659)</f>
        <v>5600</v>
      </c>
      <c r="C657" s="160">
        <f>SUM(C658:C659)</f>
        <v>4760</v>
      </c>
      <c r="D657" s="160">
        <f t="shared" si="48"/>
        <v>10360</v>
      </c>
    </row>
    <row r="658" spans="1:4">
      <c r="A658" s="149" t="s">
        <v>438</v>
      </c>
      <c r="B658" s="162">
        <v>2000</v>
      </c>
      <c r="C658" s="162">
        <v>2660</v>
      </c>
      <c r="D658" s="162">
        <f t="shared" si="48"/>
        <v>4660</v>
      </c>
    </row>
    <row r="659" spans="1:4">
      <c r="A659" s="149" t="s">
        <v>181</v>
      </c>
      <c r="B659" s="162">
        <v>3600</v>
      </c>
      <c r="C659" s="162">
        <v>2100</v>
      </c>
      <c r="D659" s="162">
        <f t="shared" si="48"/>
        <v>5700</v>
      </c>
    </row>
    <row r="660" spans="1:4">
      <c r="A660" s="149"/>
      <c r="B660" s="162"/>
      <c r="C660" s="162"/>
      <c r="D660" s="162">
        <f t="shared" si="48"/>
        <v>0</v>
      </c>
    </row>
    <row r="661" spans="1:4">
      <c r="A661" s="148" t="s">
        <v>543</v>
      </c>
      <c r="B661" s="160">
        <f>B662</f>
        <v>76900</v>
      </c>
      <c r="C661" s="160">
        <f>C662</f>
        <v>0</v>
      </c>
      <c r="D661" s="160">
        <f t="shared" si="48"/>
        <v>76900</v>
      </c>
    </row>
    <row r="662" spans="1:4">
      <c r="A662" s="148" t="s">
        <v>136</v>
      </c>
      <c r="B662" s="160">
        <f>SUM(B663:B668)</f>
        <v>76900</v>
      </c>
      <c r="C662" s="160">
        <f>SUM(C663:C668)</f>
        <v>0</v>
      </c>
      <c r="D662" s="160">
        <f t="shared" si="48"/>
        <v>76900</v>
      </c>
    </row>
    <row r="663" spans="1:4">
      <c r="A663" s="149" t="s">
        <v>217</v>
      </c>
      <c r="B663" s="162">
        <v>7800</v>
      </c>
      <c r="C663" s="162">
        <v>4000</v>
      </c>
      <c r="D663" s="162">
        <f t="shared" ref="D663:D724" si="49">B663+C663</f>
        <v>11800</v>
      </c>
    </row>
    <row r="664" spans="1:4">
      <c r="A664" s="151" t="s">
        <v>195</v>
      </c>
      <c r="B664" s="161">
        <v>43000</v>
      </c>
      <c r="C664" s="162"/>
      <c r="D664" s="161">
        <f t="shared" si="49"/>
        <v>43000</v>
      </c>
    </row>
    <row r="665" spans="1:4">
      <c r="A665" s="151" t="s">
        <v>435</v>
      </c>
      <c r="B665" s="161">
        <v>1000</v>
      </c>
      <c r="C665" s="162"/>
      <c r="D665" s="161">
        <f t="shared" si="49"/>
        <v>1000</v>
      </c>
    </row>
    <row r="666" spans="1:4">
      <c r="A666" s="151" t="s">
        <v>177</v>
      </c>
      <c r="B666" s="161">
        <v>3900</v>
      </c>
      <c r="C666" s="162">
        <v>2300</v>
      </c>
      <c r="D666" s="161">
        <f t="shared" si="49"/>
        <v>6200</v>
      </c>
    </row>
    <row r="667" spans="1:4">
      <c r="A667" s="151" t="s">
        <v>233</v>
      </c>
      <c r="B667" s="161">
        <v>6200</v>
      </c>
      <c r="C667" s="162"/>
      <c r="D667" s="161">
        <f t="shared" si="49"/>
        <v>6200</v>
      </c>
    </row>
    <row r="668" spans="1:4">
      <c r="A668" s="149" t="s">
        <v>397</v>
      </c>
      <c r="B668" s="162">
        <v>15000</v>
      </c>
      <c r="C668" s="162">
        <v>-6300</v>
      </c>
      <c r="D668" s="162">
        <f t="shared" si="49"/>
        <v>8700</v>
      </c>
    </row>
    <row r="669" spans="1:4">
      <c r="A669" s="152"/>
      <c r="B669" s="166"/>
      <c r="C669" s="166"/>
      <c r="D669" s="166">
        <f t="shared" si="49"/>
        <v>0</v>
      </c>
    </row>
    <row r="670" spans="1:4">
      <c r="A670" s="150" t="s">
        <v>231</v>
      </c>
      <c r="B670" s="159">
        <f>SUM(B672,B695,B705,B716)</f>
        <v>698680</v>
      </c>
      <c r="C670" s="159">
        <f>SUM(C672,C695,C705,C716)</f>
        <v>26035</v>
      </c>
      <c r="D670" s="159">
        <f t="shared" si="49"/>
        <v>724715</v>
      </c>
    </row>
    <row r="671" spans="1:4">
      <c r="A671" s="152"/>
      <c r="B671" s="166"/>
      <c r="C671" s="166"/>
      <c r="D671" s="166">
        <f t="shared" si="49"/>
        <v>0</v>
      </c>
    </row>
    <row r="672" spans="1:4">
      <c r="A672" s="148" t="s">
        <v>544</v>
      </c>
      <c r="B672" s="160">
        <f>B680+B683+B687+B689+B673+B676+B678</f>
        <v>394760</v>
      </c>
      <c r="C672" s="160">
        <f>C680+C683+C687+C689+C673+C676+C678</f>
        <v>335</v>
      </c>
      <c r="D672" s="160">
        <f t="shared" si="49"/>
        <v>395095</v>
      </c>
    </row>
    <row r="673" spans="1:4">
      <c r="A673" s="148" t="s">
        <v>130</v>
      </c>
      <c r="B673" s="160">
        <f>SUM(B674:B675)</f>
        <v>2600</v>
      </c>
      <c r="C673" s="160">
        <f>SUM(C674:C675)</f>
        <v>-1000</v>
      </c>
      <c r="D673" s="160">
        <f t="shared" si="49"/>
        <v>1600</v>
      </c>
    </row>
    <row r="674" spans="1:4">
      <c r="A674" s="149" t="s">
        <v>545</v>
      </c>
      <c r="B674" s="162">
        <v>400</v>
      </c>
      <c r="C674" s="162"/>
      <c r="D674" s="162">
        <f t="shared" si="49"/>
        <v>400</v>
      </c>
    </row>
    <row r="675" spans="1:4">
      <c r="A675" s="151" t="s">
        <v>546</v>
      </c>
      <c r="B675" s="161">
        <v>2200</v>
      </c>
      <c r="C675" s="162">
        <v>-1000</v>
      </c>
      <c r="D675" s="161">
        <f t="shared" si="49"/>
        <v>1200</v>
      </c>
    </row>
    <row r="676" spans="1:4">
      <c r="A676" s="148" t="s">
        <v>131</v>
      </c>
      <c r="B676" s="160">
        <f>B677</f>
        <v>27000</v>
      </c>
      <c r="C676" s="160">
        <f>C677</f>
        <v>0</v>
      </c>
      <c r="D676" s="160">
        <f t="shared" si="49"/>
        <v>27000</v>
      </c>
    </row>
    <row r="677" spans="1:4">
      <c r="A677" s="149" t="s">
        <v>189</v>
      </c>
      <c r="B677" s="162">
        <v>27000</v>
      </c>
      <c r="C677" s="162"/>
      <c r="D677" s="162">
        <f t="shared" si="49"/>
        <v>27000</v>
      </c>
    </row>
    <row r="678" spans="1:4">
      <c r="A678" s="148" t="s">
        <v>128</v>
      </c>
      <c r="B678" s="160">
        <f>B679</f>
        <v>30000</v>
      </c>
      <c r="C678" s="160">
        <f>C679</f>
        <v>-13000</v>
      </c>
      <c r="D678" s="160">
        <f t="shared" si="49"/>
        <v>17000</v>
      </c>
    </row>
    <row r="679" spans="1:4">
      <c r="A679" s="149" t="s">
        <v>382</v>
      </c>
      <c r="B679" s="162">
        <v>30000</v>
      </c>
      <c r="C679" s="162">
        <v>-13000</v>
      </c>
      <c r="D679" s="162">
        <f t="shared" si="49"/>
        <v>17000</v>
      </c>
    </row>
    <row r="680" spans="1:4">
      <c r="A680" s="148" t="s">
        <v>134</v>
      </c>
      <c r="B680" s="160">
        <f>B681+B682</f>
        <v>2100</v>
      </c>
      <c r="C680" s="160">
        <f>C681+C682</f>
        <v>-465</v>
      </c>
      <c r="D680" s="160">
        <f t="shared" si="49"/>
        <v>1635</v>
      </c>
    </row>
    <row r="681" spans="1:4">
      <c r="A681" s="149" t="s">
        <v>190</v>
      </c>
      <c r="B681" s="162">
        <v>1000</v>
      </c>
      <c r="C681" s="162">
        <v>-215</v>
      </c>
      <c r="D681" s="162">
        <f t="shared" si="49"/>
        <v>785</v>
      </c>
    </row>
    <row r="682" spans="1:4">
      <c r="A682" s="149" t="s">
        <v>170</v>
      </c>
      <c r="B682" s="162">
        <v>1100</v>
      </c>
      <c r="C682" s="162">
        <v>-250</v>
      </c>
      <c r="D682" s="162">
        <f t="shared" si="49"/>
        <v>850</v>
      </c>
    </row>
    <row r="683" spans="1:4">
      <c r="A683" s="148" t="s">
        <v>126</v>
      </c>
      <c r="B683" s="160">
        <f>SUM(B684:B686)</f>
        <v>170460</v>
      </c>
      <c r="C683" s="160">
        <f>SUM(C684:C686)</f>
        <v>1500</v>
      </c>
      <c r="D683" s="160">
        <f t="shared" si="49"/>
        <v>171960</v>
      </c>
    </row>
    <row r="684" spans="1:4">
      <c r="A684" s="149" t="s">
        <v>169</v>
      </c>
      <c r="B684" s="162">
        <v>116220</v>
      </c>
      <c r="C684" s="162">
        <v>1375</v>
      </c>
      <c r="D684" s="162">
        <f t="shared" si="49"/>
        <v>117595</v>
      </c>
    </row>
    <row r="685" spans="1:4">
      <c r="A685" s="149" t="s">
        <v>170</v>
      </c>
      <c r="B685" s="162">
        <v>54240</v>
      </c>
      <c r="C685" s="162"/>
      <c r="D685" s="162">
        <f t="shared" si="49"/>
        <v>54240</v>
      </c>
    </row>
    <row r="686" spans="1:4">
      <c r="A686" s="149" t="s">
        <v>428</v>
      </c>
      <c r="B686" s="162"/>
      <c r="C686" s="162">
        <v>125</v>
      </c>
      <c r="D686" s="162">
        <f t="shared" si="49"/>
        <v>125</v>
      </c>
    </row>
    <row r="687" spans="1:4">
      <c r="A687" s="148" t="s">
        <v>133</v>
      </c>
      <c r="B687" s="160">
        <f>B688</f>
        <v>44000</v>
      </c>
      <c r="C687" s="160">
        <f>C688</f>
        <v>11300</v>
      </c>
      <c r="D687" s="160">
        <f t="shared" si="49"/>
        <v>55300</v>
      </c>
    </row>
    <row r="688" spans="1:4">
      <c r="A688" s="151" t="s">
        <v>216</v>
      </c>
      <c r="B688" s="161">
        <v>44000</v>
      </c>
      <c r="C688" s="162">
        <v>11300</v>
      </c>
      <c r="D688" s="161">
        <f t="shared" si="49"/>
        <v>55300</v>
      </c>
    </row>
    <row r="689" spans="1:4">
      <c r="A689" s="148" t="s">
        <v>127</v>
      </c>
      <c r="B689" s="160">
        <f>SUM(B690:B693)</f>
        <v>118600</v>
      </c>
      <c r="C689" s="160">
        <f>SUM(C690:C693)</f>
        <v>2000</v>
      </c>
      <c r="D689" s="160">
        <f t="shared" si="49"/>
        <v>120600</v>
      </c>
    </row>
    <row r="690" spans="1:4">
      <c r="A690" s="149" t="s">
        <v>208</v>
      </c>
      <c r="B690" s="162">
        <v>28000</v>
      </c>
      <c r="C690" s="162">
        <v>2000</v>
      </c>
      <c r="D690" s="162">
        <f t="shared" si="49"/>
        <v>30000</v>
      </c>
    </row>
    <row r="691" spans="1:4">
      <c r="A691" s="151" t="s">
        <v>187</v>
      </c>
      <c r="B691" s="161">
        <v>35000</v>
      </c>
      <c r="C691" s="162"/>
      <c r="D691" s="161">
        <f t="shared" si="49"/>
        <v>35000</v>
      </c>
    </row>
    <row r="692" spans="1:4">
      <c r="A692" s="149" t="s">
        <v>547</v>
      </c>
      <c r="B692" s="162">
        <v>52000</v>
      </c>
      <c r="C692" s="162"/>
      <c r="D692" s="162">
        <f t="shared" si="49"/>
        <v>52000</v>
      </c>
    </row>
    <row r="693" spans="1:4">
      <c r="A693" s="151" t="s">
        <v>219</v>
      </c>
      <c r="B693" s="161">
        <v>3600</v>
      </c>
      <c r="C693" s="162"/>
      <c r="D693" s="161">
        <f t="shared" si="49"/>
        <v>3600</v>
      </c>
    </row>
    <row r="694" spans="1:4">
      <c r="A694" s="151"/>
      <c r="B694" s="161"/>
      <c r="C694" s="162"/>
      <c r="D694" s="161">
        <f t="shared" si="49"/>
        <v>0</v>
      </c>
    </row>
    <row r="695" spans="1:4">
      <c r="A695" s="392" t="s">
        <v>548</v>
      </c>
      <c r="B695" s="160">
        <f>B696+B701</f>
        <v>82800</v>
      </c>
      <c r="C695" s="160">
        <f>C696+C701</f>
        <v>12410</v>
      </c>
      <c r="D695" s="160">
        <f t="shared" si="49"/>
        <v>95210</v>
      </c>
    </row>
    <row r="696" spans="1:4">
      <c r="A696" s="148" t="s">
        <v>130</v>
      </c>
      <c r="B696" s="160">
        <f t="shared" ref="B696" si="50">SUM(B697:B700)</f>
        <v>71200</v>
      </c>
      <c r="C696" s="160">
        <f>SUM(C697:C700)</f>
        <v>12200</v>
      </c>
      <c r="D696" s="160">
        <f t="shared" si="49"/>
        <v>83400</v>
      </c>
    </row>
    <row r="697" spans="1:4">
      <c r="A697" s="151" t="s">
        <v>183</v>
      </c>
      <c r="B697" s="161">
        <v>19000</v>
      </c>
      <c r="C697" s="524">
        <v>3000</v>
      </c>
      <c r="D697" s="161">
        <f t="shared" si="49"/>
        <v>22000</v>
      </c>
    </row>
    <row r="698" spans="1:4">
      <c r="A698" s="151" t="s">
        <v>179</v>
      </c>
      <c r="B698" s="161">
        <v>16000</v>
      </c>
      <c r="C698" s="524">
        <v>4000</v>
      </c>
      <c r="D698" s="161">
        <f t="shared" si="49"/>
        <v>20000</v>
      </c>
    </row>
    <row r="699" spans="1:4" ht="25.5">
      <c r="A699" s="151" t="s">
        <v>185</v>
      </c>
      <c r="B699" s="161">
        <v>34200</v>
      </c>
      <c r="C699" s="524">
        <v>4100</v>
      </c>
      <c r="D699" s="161">
        <f t="shared" si="49"/>
        <v>38300</v>
      </c>
    </row>
    <row r="700" spans="1:4" ht="25.5">
      <c r="A700" s="151" t="s">
        <v>178</v>
      </c>
      <c r="B700" s="161">
        <v>2000</v>
      </c>
      <c r="C700" s="524">
        <v>1100</v>
      </c>
      <c r="D700" s="161">
        <f t="shared" si="49"/>
        <v>3100</v>
      </c>
    </row>
    <row r="701" spans="1:4">
      <c r="A701" s="148" t="s">
        <v>126</v>
      </c>
      <c r="B701" s="160">
        <f t="shared" ref="B701" si="51">SUM(B702:B703)</f>
        <v>11600</v>
      </c>
      <c r="C701" s="160">
        <f>SUM(C702:C703)</f>
        <v>210</v>
      </c>
      <c r="D701" s="160">
        <f t="shared" si="49"/>
        <v>11810</v>
      </c>
    </row>
    <row r="702" spans="1:4">
      <c r="A702" s="149" t="s">
        <v>169</v>
      </c>
      <c r="B702" s="162">
        <v>6400</v>
      </c>
      <c r="C702" s="162">
        <v>210</v>
      </c>
      <c r="D702" s="162">
        <f t="shared" si="49"/>
        <v>6610</v>
      </c>
    </row>
    <row r="703" spans="1:4">
      <c r="A703" s="149" t="s">
        <v>170</v>
      </c>
      <c r="B703" s="162">
        <v>5200</v>
      </c>
      <c r="C703" s="162"/>
      <c r="D703" s="162">
        <f t="shared" si="49"/>
        <v>5200</v>
      </c>
    </row>
    <row r="704" spans="1:4">
      <c r="A704" s="148"/>
      <c r="B704" s="160"/>
      <c r="C704" s="160"/>
      <c r="D704" s="160">
        <f t="shared" si="49"/>
        <v>0</v>
      </c>
    </row>
    <row r="705" spans="1:4">
      <c r="A705" s="148" t="s">
        <v>549</v>
      </c>
      <c r="B705" s="160">
        <f>B706+B710</f>
        <v>24740</v>
      </c>
      <c r="C705" s="160">
        <f>C706+C710</f>
        <v>7450</v>
      </c>
      <c r="D705" s="160">
        <f t="shared" si="49"/>
        <v>32190</v>
      </c>
    </row>
    <row r="706" spans="1:4">
      <c r="A706" s="148" t="s">
        <v>136</v>
      </c>
      <c r="B706" s="160">
        <f>SUM(B707:B709)</f>
        <v>12800</v>
      </c>
      <c r="C706" s="160">
        <f>SUM(C707:C709)</f>
        <v>4500</v>
      </c>
      <c r="D706" s="160">
        <f t="shared" si="49"/>
        <v>17300</v>
      </c>
    </row>
    <row r="707" spans="1:4">
      <c r="A707" s="151" t="s">
        <v>177</v>
      </c>
      <c r="B707" s="161">
        <v>5500</v>
      </c>
      <c r="C707" s="162">
        <v>1500</v>
      </c>
      <c r="D707" s="161">
        <f t="shared" si="49"/>
        <v>7000</v>
      </c>
    </row>
    <row r="708" spans="1:4">
      <c r="A708" s="151" t="s">
        <v>174</v>
      </c>
      <c r="B708" s="161">
        <v>6800</v>
      </c>
      <c r="C708" s="162"/>
      <c r="D708" s="161">
        <f t="shared" si="49"/>
        <v>6800</v>
      </c>
    </row>
    <row r="709" spans="1:4">
      <c r="A709" s="149" t="s">
        <v>397</v>
      </c>
      <c r="B709" s="162">
        <v>500</v>
      </c>
      <c r="C709" s="162">
        <v>3000</v>
      </c>
      <c r="D709" s="162">
        <f t="shared" si="49"/>
        <v>3500</v>
      </c>
    </row>
    <row r="710" spans="1:4">
      <c r="A710" s="148" t="s">
        <v>131</v>
      </c>
      <c r="B710" s="160">
        <f>SUM(B711:B714)</f>
        <v>11940</v>
      </c>
      <c r="C710" s="160">
        <f>SUM(C711:C714)</f>
        <v>2950</v>
      </c>
      <c r="D710" s="160">
        <f t="shared" si="49"/>
        <v>14890</v>
      </c>
    </row>
    <row r="711" spans="1:4">
      <c r="A711" s="151" t="s">
        <v>177</v>
      </c>
      <c r="B711" s="161">
        <f>300+3240</f>
        <v>3540</v>
      </c>
      <c r="C711" s="162"/>
      <c r="D711" s="161">
        <f t="shared" si="49"/>
        <v>3540</v>
      </c>
    </row>
    <row r="712" spans="1:4" ht="25.5">
      <c r="A712" s="151" t="s">
        <v>438</v>
      </c>
      <c r="B712" s="161">
        <v>4600</v>
      </c>
      <c r="C712" s="162">
        <v>2800</v>
      </c>
      <c r="D712" s="161">
        <f t="shared" si="49"/>
        <v>7400</v>
      </c>
    </row>
    <row r="713" spans="1:4" ht="25.5">
      <c r="A713" s="151" t="s">
        <v>180</v>
      </c>
      <c r="B713" s="161">
        <v>200</v>
      </c>
      <c r="C713" s="162">
        <v>-150</v>
      </c>
      <c r="D713" s="161">
        <f t="shared" si="49"/>
        <v>50</v>
      </c>
    </row>
    <row r="714" spans="1:4">
      <c r="A714" s="151" t="s">
        <v>181</v>
      </c>
      <c r="B714" s="161">
        <v>3600</v>
      </c>
      <c r="C714" s="162">
        <v>300</v>
      </c>
      <c r="D714" s="161">
        <f t="shared" si="49"/>
        <v>3900</v>
      </c>
    </row>
    <row r="715" spans="1:4">
      <c r="A715" s="148"/>
      <c r="B715" s="160"/>
      <c r="C715" s="160"/>
      <c r="D715" s="160">
        <f t="shared" si="49"/>
        <v>0</v>
      </c>
    </row>
    <row r="716" spans="1:4">
      <c r="A716" s="148" t="s">
        <v>550</v>
      </c>
      <c r="B716" s="160">
        <f t="shared" ref="B716" si="52">B717+B721+B724</f>
        <v>196380</v>
      </c>
      <c r="C716" s="160">
        <f>C717+C721+C724</f>
        <v>5840</v>
      </c>
      <c r="D716" s="160">
        <f t="shared" si="49"/>
        <v>202220</v>
      </c>
    </row>
    <row r="717" spans="1:4">
      <c r="A717" s="148" t="s">
        <v>136</v>
      </c>
      <c r="B717" s="160">
        <f t="shared" ref="B717" si="53">SUM(B718:B720)</f>
        <v>151200</v>
      </c>
      <c r="C717" s="160">
        <v>1200</v>
      </c>
      <c r="D717" s="160">
        <f t="shared" si="49"/>
        <v>152400</v>
      </c>
    </row>
    <row r="718" spans="1:4">
      <c r="A718" s="149" t="s">
        <v>217</v>
      </c>
      <c r="B718" s="161">
        <v>2200</v>
      </c>
      <c r="C718" s="162">
        <v>700</v>
      </c>
      <c r="D718" s="161">
        <f t="shared" si="49"/>
        <v>2900</v>
      </c>
    </row>
    <row r="719" spans="1:4">
      <c r="A719" s="151" t="s">
        <v>194</v>
      </c>
      <c r="B719" s="161">
        <v>145000</v>
      </c>
      <c r="C719" s="162"/>
      <c r="D719" s="161">
        <f t="shared" si="49"/>
        <v>145000</v>
      </c>
    </row>
    <row r="720" spans="1:4">
      <c r="A720" s="151" t="s">
        <v>380</v>
      </c>
      <c r="B720" s="161">
        <v>4000</v>
      </c>
      <c r="C720" s="162">
        <v>500</v>
      </c>
      <c r="D720" s="161">
        <f t="shared" si="49"/>
        <v>4500</v>
      </c>
    </row>
    <row r="721" spans="1:4">
      <c r="A721" s="148" t="s">
        <v>134</v>
      </c>
      <c r="B721" s="160">
        <f t="shared" ref="B721" si="54">SUM(B722:B723)</f>
        <v>36200</v>
      </c>
      <c r="C721" s="160">
        <f>SUM(C722:C723)</f>
        <v>4900</v>
      </c>
      <c r="D721" s="160">
        <f t="shared" si="49"/>
        <v>41100</v>
      </c>
    </row>
    <row r="722" spans="1:4">
      <c r="A722" s="151" t="s">
        <v>190</v>
      </c>
      <c r="B722" s="161">
        <v>9700</v>
      </c>
      <c r="C722" s="162">
        <v>1900</v>
      </c>
      <c r="D722" s="161">
        <f t="shared" si="49"/>
        <v>11600</v>
      </c>
    </row>
    <row r="723" spans="1:4">
      <c r="A723" s="149" t="s">
        <v>170</v>
      </c>
      <c r="B723" s="162">
        <v>26500</v>
      </c>
      <c r="C723" s="162">
        <v>3000</v>
      </c>
      <c r="D723" s="162">
        <f t="shared" si="49"/>
        <v>29500</v>
      </c>
    </row>
    <row r="724" spans="1:4">
      <c r="A724" s="148" t="s">
        <v>126</v>
      </c>
      <c r="B724" s="160">
        <f t="shared" ref="B724" si="55">SUM(B725:B726)</f>
        <v>8980</v>
      </c>
      <c r="C724" s="160">
        <f>SUM(C725:C726)</f>
        <v>-260</v>
      </c>
      <c r="D724" s="160">
        <f t="shared" si="49"/>
        <v>8720</v>
      </c>
    </row>
    <row r="725" spans="1:4">
      <c r="A725" s="149" t="s">
        <v>169</v>
      </c>
      <c r="B725" s="162">
        <v>1080</v>
      </c>
      <c r="C725" s="162">
        <v>-260</v>
      </c>
      <c r="D725" s="162">
        <f t="shared" ref="D725:D786" si="56">B725+C725</f>
        <v>820</v>
      </c>
    </row>
    <row r="726" spans="1:4">
      <c r="A726" s="149" t="s">
        <v>170</v>
      </c>
      <c r="B726" s="162">
        <v>7900</v>
      </c>
      <c r="C726" s="162"/>
      <c r="D726" s="162">
        <f t="shared" si="56"/>
        <v>7900</v>
      </c>
    </row>
    <row r="727" spans="1:4">
      <c r="A727" s="151"/>
      <c r="B727" s="161"/>
      <c r="C727" s="162"/>
      <c r="D727" s="161">
        <f t="shared" si="56"/>
        <v>0</v>
      </c>
    </row>
    <row r="728" spans="1:4">
      <c r="A728" s="150" t="s">
        <v>232</v>
      </c>
      <c r="B728" s="159">
        <f>B730+B742</f>
        <v>244480</v>
      </c>
      <c r="C728" s="159">
        <f>C730+C742</f>
        <v>38090</v>
      </c>
      <c r="D728" s="159">
        <f t="shared" si="56"/>
        <v>282570</v>
      </c>
    </row>
    <row r="729" spans="1:4">
      <c r="A729" s="150"/>
      <c r="B729" s="159"/>
      <c r="C729" s="159"/>
      <c r="D729" s="159">
        <f t="shared" si="56"/>
        <v>0</v>
      </c>
    </row>
    <row r="730" spans="1:4">
      <c r="A730" s="148" t="s">
        <v>398</v>
      </c>
      <c r="B730" s="160">
        <f>B731+B733+B736+B738</f>
        <v>192240</v>
      </c>
      <c r="C730" s="160">
        <f>C731+C733+C736+C738</f>
        <v>34680</v>
      </c>
      <c r="D730" s="160">
        <f t="shared" si="56"/>
        <v>226920</v>
      </c>
    </row>
    <row r="731" spans="1:4">
      <c r="A731" s="148" t="s">
        <v>134</v>
      </c>
      <c r="B731" s="160">
        <f>B732</f>
        <v>1280</v>
      </c>
      <c r="C731" s="160">
        <f>C732</f>
        <v>0</v>
      </c>
      <c r="D731" s="160">
        <f t="shared" si="56"/>
        <v>1280</v>
      </c>
    </row>
    <row r="732" spans="1:4">
      <c r="A732" s="149" t="s">
        <v>190</v>
      </c>
      <c r="B732" s="162">
        <v>1280</v>
      </c>
      <c r="C732" s="162"/>
      <c r="D732" s="162">
        <f t="shared" si="56"/>
        <v>1280</v>
      </c>
    </row>
    <row r="733" spans="1:4">
      <c r="A733" s="148" t="s">
        <v>126</v>
      </c>
      <c r="B733" s="160">
        <f>SUM(B734:B735)</f>
        <v>47260</v>
      </c>
      <c r="C733" s="160">
        <f>SUM(C734:C735)</f>
        <v>1580</v>
      </c>
      <c r="D733" s="160">
        <f t="shared" si="56"/>
        <v>48840</v>
      </c>
    </row>
    <row r="734" spans="1:4">
      <c r="A734" s="149" t="s">
        <v>169</v>
      </c>
      <c r="B734" s="162">
        <v>37260</v>
      </c>
      <c r="C734" s="162">
        <v>1580</v>
      </c>
      <c r="D734" s="162">
        <f t="shared" si="56"/>
        <v>38840</v>
      </c>
    </row>
    <row r="735" spans="1:4">
      <c r="A735" s="149" t="s">
        <v>170</v>
      </c>
      <c r="B735" s="162">
        <v>10000</v>
      </c>
      <c r="C735" s="162"/>
      <c r="D735" s="162">
        <f t="shared" si="56"/>
        <v>10000</v>
      </c>
    </row>
    <row r="736" spans="1:4">
      <c r="A736" s="148" t="s">
        <v>133</v>
      </c>
      <c r="B736" s="160">
        <f>B737</f>
        <v>71000</v>
      </c>
      <c r="C736" s="160">
        <f>C737</f>
        <v>18200</v>
      </c>
      <c r="D736" s="160">
        <f t="shared" si="56"/>
        <v>89200</v>
      </c>
    </row>
    <row r="737" spans="1:4">
      <c r="A737" s="151" t="s">
        <v>216</v>
      </c>
      <c r="B737" s="161">
        <f>65900+5100</f>
        <v>71000</v>
      </c>
      <c r="C737" s="162">
        <v>18200</v>
      </c>
      <c r="D737" s="161">
        <f t="shared" si="56"/>
        <v>89200</v>
      </c>
    </row>
    <row r="738" spans="1:4">
      <c r="A738" s="153" t="s">
        <v>127</v>
      </c>
      <c r="B738" s="163">
        <f>SUM(B739:B740)</f>
        <v>72700</v>
      </c>
      <c r="C738" s="160">
        <f>SUM(C739:C740)</f>
        <v>14900</v>
      </c>
      <c r="D738" s="163">
        <f t="shared" si="56"/>
        <v>87600</v>
      </c>
    </row>
    <row r="739" spans="1:4">
      <c r="A739" s="149" t="s">
        <v>208</v>
      </c>
      <c r="B739" s="162">
        <v>61700</v>
      </c>
      <c r="C739" s="162">
        <v>14900</v>
      </c>
      <c r="D739" s="162">
        <f t="shared" si="56"/>
        <v>76600</v>
      </c>
    </row>
    <row r="740" spans="1:4">
      <c r="A740" s="151" t="s">
        <v>187</v>
      </c>
      <c r="B740" s="161">
        <v>11000</v>
      </c>
      <c r="C740" s="162"/>
      <c r="D740" s="161">
        <f t="shared" si="56"/>
        <v>11000</v>
      </c>
    </row>
    <row r="741" spans="1:4">
      <c r="A741" s="148"/>
      <c r="B741" s="160"/>
      <c r="C741" s="160"/>
      <c r="D741" s="160">
        <f t="shared" si="56"/>
        <v>0</v>
      </c>
    </row>
    <row r="742" spans="1:4">
      <c r="A742" s="153" t="s">
        <v>399</v>
      </c>
      <c r="B742" s="163">
        <f>B743+B749+B752</f>
        <v>52240</v>
      </c>
      <c r="C742" s="160">
        <f>C743+C749+C752</f>
        <v>3410</v>
      </c>
      <c r="D742" s="163">
        <f t="shared" si="56"/>
        <v>55650</v>
      </c>
    </row>
    <row r="743" spans="1:4">
      <c r="A743" s="148" t="s">
        <v>130</v>
      </c>
      <c r="B743" s="160">
        <f t="shared" ref="B743" si="57">SUM(B744:B748)</f>
        <v>40400</v>
      </c>
      <c r="C743" s="160">
        <f t="shared" ref="C743" si="58">SUM(C744:C748)</f>
        <v>5600</v>
      </c>
      <c r="D743" s="160">
        <f t="shared" si="56"/>
        <v>46000</v>
      </c>
    </row>
    <row r="744" spans="1:4">
      <c r="A744" s="151" t="s">
        <v>183</v>
      </c>
      <c r="B744" s="161">
        <v>26500</v>
      </c>
      <c r="C744" s="162"/>
      <c r="D744" s="161">
        <f t="shared" si="56"/>
        <v>26500</v>
      </c>
    </row>
    <row r="745" spans="1:4">
      <c r="A745" s="151" t="s">
        <v>179</v>
      </c>
      <c r="B745" s="161">
        <v>600</v>
      </c>
      <c r="C745" s="162">
        <v>400</v>
      </c>
      <c r="D745" s="161">
        <f t="shared" si="56"/>
        <v>1000</v>
      </c>
    </row>
    <row r="746" spans="1:4">
      <c r="A746" s="151" t="s">
        <v>174</v>
      </c>
      <c r="B746" s="161">
        <v>2500</v>
      </c>
      <c r="C746" s="162">
        <v>500</v>
      </c>
      <c r="D746" s="161">
        <f t="shared" si="56"/>
        <v>3000</v>
      </c>
    </row>
    <row r="747" spans="1:4" ht="25.5">
      <c r="A747" s="151" t="s">
        <v>185</v>
      </c>
      <c r="B747" s="161">
        <v>10600</v>
      </c>
      <c r="C747" s="162">
        <v>4400</v>
      </c>
      <c r="D747" s="161">
        <f t="shared" si="56"/>
        <v>15000</v>
      </c>
    </row>
    <row r="748" spans="1:4" ht="25.5">
      <c r="A748" s="151" t="s">
        <v>178</v>
      </c>
      <c r="B748" s="161">
        <v>200</v>
      </c>
      <c r="C748" s="162">
        <v>300</v>
      </c>
      <c r="D748" s="161">
        <f t="shared" si="56"/>
        <v>500</v>
      </c>
    </row>
    <row r="749" spans="1:4">
      <c r="A749" s="148" t="s">
        <v>131</v>
      </c>
      <c r="B749" s="160">
        <f>SUM(B750:B751)</f>
        <v>390</v>
      </c>
      <c r="C749" s="160">
        <f>SUM(C750:C751)</f>
        <v>-140</v>
      </c>
      <c r="D749" s="160">
        <f t="shared" si="56"/>
        <v>250</v>
      </c>
    </row>
    <row r="750" spans="1:4" ht="25.5">
      <c r="A750" s="151" t="s">
        <v>401</v>
      </c>
      <c r="B750" s="161">
        <v>350</v>
      </c>
      <c r="C750" s="162">
        <v>-100</v>
      </c>
      <c r="D750" s="161">
        <f t="shared" si="56"/>
        <v>250</v>
      </c>
    </row>
    <row r="751" spans="1:4" ht="25.5">
      <c r="A751" s="151" t="s">
        <v>180</v>
      </c>
      <c r="B751" s="161">
        <v>40</v>
      </c>
      <c r="C751" s="162">
        <v>-40</v>
      </c>
      <c r="D751" s="161">
        <f t="shared" si="56"/>
        <v>0</v>
      </c>
    </row>
    <row r="752" spans="1:4">
      <c r="A752" s="148" t="s">
        <v>136</v>
      </c>
      <c r="B752" s="160">
        <f t="shared" ref="B752" si="59">SUM(B753:B757)</f>
        <v>11450</v>
      </c>
      <c r="C752" s="160">
        <f t="shared" ref="C752" si="60">SUM(C753:C757)</f>
        <v>-2050</v>
      </c>
      <c r="D752" s="160">
        <f t="shared" si="56"/>
        <v>9400</v>
      </c>
    </row>
    <row r="753" spans="1:4">
      <c r="A753" s="149" t="s">
        <v>217</v>
      </c>
      <c r="B753" s="162">
        <v>3750</v>
      </c>
      <c r="C753" s="162">
        <v>-2100</v>
      </c>
      <c r="D753" s="162">
        <f t="shared" si="56"/>
        <v>1650</v>
      </c>
    </row>
    <row r="754" spans="1:4">
      <c r="A754" s="151" t="s">
        <v>177</v>
      </c>
      <c r="B754" s="161">
        <v>3300</v>
      </c>
      <c r="C754" s="162">
        <v>600</v>
      </c>
      <c r="D754" s="161">
        <f t="shared" si="56"/>
        <v>3900</v>
      </c>
    </row>
    <row r="755" spans="1:4" ht="25.5">
      <c r="A755" s="151" t="s">
        <v>397</v>
      </c>
      <c r="B755" s="161">
        <v>3400</v>
      </c>
      <c r="C755" s="162">
        <v>-400</v>
      </c>
      <c r="D755" s="161">
        <f t="shared" si="56"/>
        <v>3000</v>
      </c>
    </row>
    <row r="756" spans="1:4">
      <c r="A756" s="151" t="s">
        <v>400</v>
      </c>
      <c r="B756" s="161">
        <v>600</v>
      </c>
      <c r="C756" s="162">
        <v>-150</v>
      </c>
      <c r="D756" s="161">
        <f t="shared" si="56"/>
        <v>450</v>
      </c>
    </row>
    <row r="757" spans="1:4">
      <c r="A757" s="151" t="s">
        <v>233</v>
      </c>
      <c r="B757" s="161">
        <v>400</v>
      </c>
      <c r="C757" s="162"/>
      <c r="D757" s="161">
        <f t="shared" si="56"/>
        <v>400</v>
      </c>
    </row>
    <row r="758" spans="1:4">
      <c r="A758" s="148"/>
      <c r="B758" s="160"/>
      <c r="C758" s="160"/>
      <c r="D758" s="160">
        <f t="shared" si="56"/>
        <v>0</v>
      </c>
    </row>
    <row r="759" spans="1:4">
      <c r="A759" s="150" t="s">
        <v>234</v>
      </c>
      <c r="B759" s="159">
        <f>B761+B777+B782+B788+B795</f>
        <v>1108020</v>
      </c>
      <c r="C759" s="159">
        <f>C761+C777+C782+C788+C795</f>
        <v>63090</v>
      </c>
      <c r="D759" s="159">
        <f t="shared" si="56"/>
        <v>1171110</v>
      </c>
    </row>
    <row r="760" spans="1:4">
      <c r="A760" s="156"/>
      <c r="B760" s="165"/>
      <c r="C760" s="166"/>
      <c r="D760" s="165">
        <f t="shared" si="56"/>
        <v>0</v>
      </c>
    </row>
    <row r="761" spans="1:4">
      <c r="A761" s="148" t="s">
        <v>235</v>
      </c>
      <c r="B761" s="160">
        <f>B762+B765+B768+B772</f>
        <v>909200</v>
      </c>
      <c r="C761" s="160">
        <f>C762+C765+C768+C772</f>
        <v>64600</v>
      </c>
      <c r="D761" s="160">
        <f t="shared" si="56"/>
        <v>973800</v>
      </c>
    </row>
    <row r="762" spans="1:4">
      <c r="A762" s="148" t="s">
        <v>134</v>
      </c>
      <c r="B762" s="160">
        <f>B763+B764</f>
        <v>147000</v>
      </c>
      <c r="C762" s="160">
        <f>C763+C764</f>
        <v>-11000</v>
      </c>
      <c r="D762" s="160">
        <f t="shared" si="56"/>
        <v>136000</v>
      </c>
    </row>
    <row r="763" spans="1:4">
      <c r="A763" s="149" t="s">
        <v>190</v>
      </c>
      <c r="B763" s="162">
        <v>59000</v>
      </c>
      <c r="C763" s="162">
        <v>-3000</v>
      </c>
      <c r="D763" s="162">
        <f t="shared" si="56"/>
        <v>56000</v>
      </c>
    </row>
    <row r="764" spans="1:4">
      <c r="A764" s="149" t="s">
        <v>170</v>
      </c>
      <c r="B764" s="162">
        <v>88000</v>
      </c>
      <c r="C764" s="162">
        <v>-8000</v>
      </c>
      <c r="D764" s="162">
        <f t="shared" si="56"/>
        <v>80000</v>
      </c>
    </row>
    <row r="765" spans="1:4">
      <c r="A765" s="148" t="s">
        <v>126</v>
      </c>
      <c r="B765" s="160">
        <f>B766+B767</f>
        <v>591100</v>
      </c>
      <c r="C765" s="160">
        <f>C766+C767</f>
        <v>27900</v>
      </c>
      <c r="D765" s="160">
        <f t="shared" si="56"/>
        <v>619000</v>
      </c>
    </row>
    <row r="766" spans="1:4">
      <c r="A766" s="149" t="s">
        <v>169</v>
      </c>
      <c r="B766" s="162">
        <v>425400</v>
      </c>
      <c r="C766" s="162">
        <v>18600</v>
      </c>
      <c r="D766" s="162">
        <f t="shared" si="56"/>
        <v>444000</v>
      </c>
    </row>
    <row r="767" spans="1:4">
      <c r="A767" s="149" t="s">
        <v>170</v>
      </c>
      <c r="B767" s="162">
        <v>165700</v>
      </c>
      <c r="C767" s="162">
        <v>9300</v>
      </c>
      <c r="D767" s="162">
        <f t="shared" si="56"/>
        <v>175000</v>
      </c>
    </row>
    <row r="768" spans="1:4">
      <c r="A768" s="153" t="s">
        <v>133</v>
      </c>
      <c r="B768" s="163">
        <f>B769+B770+B771</f>
        <v>138600</v>
      </c>
      <c r="C768" s="160">
        <f>C769+C770+C771</f>
        <v>25500</v>
      </c>
      <c r="D768" s="163">
        <f t="shared" si="56"/>
        <v>164100</v>
      </c>
    </row>
    <row r="769" spans="1:4">
      <c r="A769" s="151" t="s">
        <v>216</v>
      </c>
      <c r="B769" s="161">
        <v>82700</v>
      </c>
      <c r="C769" s="162">
        <v>22000</v>
      </c>
      <c r="D769" s="161">
        <f t="shared" si="56"/>
        <v>104700</v>
      </c>
    </row>
    <row r="770" spans="1:4">
      <c r="A770" s="151" t="s">
        <v>186</v>
      </c>
      <c r="B770" s="161">
        <v>55500</v>
      </c>
      <c r="C770" s="162">
        <v>3500</v>
      </c>
      <c r="D770" s="161">
        <f t="shared" si="56"/>
        <v>59000</v>
      </c>
    </row>
    <row r="771" spans="1:4">
      <c r="A771" s="157" t="s">
        <v>210</v>
      </c>
      <c r="B771" s="161">
        <v>400</v>
      </c>
      <c r="C771" s="162"/>
      <c r="D771" s="161">
        <f t="shared" si="56"/>
        <v>400</v>
      </c>
    </row>
    <row r="772" spans="1:4">
      <c r="A772" s="153" t="s">
        <v>127</v>
      </c>
      <c r="B772" s="163">
        <f>B773+B774</f>
        <v>32500</v>
      </c>
      <c r="C772" s="160">
        <f>C773+C774+C775</f>
        <v>22200</v>
      </c>
      <c r="D772" s="163">
        <f t="shared" si="56"/>
        <v>54700</v>
      </c>
    </row>
    <row r="773" spans="1:4">
      <c r="A773" s="149" t="s">
        <v>208</v>
      </c>
      <c r="B773" s="162">
        <v>25500</v>
      </c>
      <c r="C773" s="162">
        <v>10000</v>
      </c>
      <c r="D773" s="162">
        <f t="shared" si="56"/>
        <v>35500</v>
      </c>
    </row>
    <row r="774" spans="1:4">
      <c r="A774" s="151" t="s">
        <v>187</v>
      </c>
      <c r="B774" s="161">
        <v>7000</v>
      </c>
      <c r="C774" s="162">
        <v>7000</v>
      </c>
      <c r="D774" s="161">
        <f t="shared" si="56"/>
        <v>14000</v>
      </c>
    </row>
    <row r="775" spans="1:4" ht="25.5">
      <c r="A775" s="151" t="s">
        <v>172</v>
      </c>
      <c r="B775" s="161"/>
      <c r="C775" s="162">
        <v>5200</v>
      </c>
      <c r="D775" s="161">
        <f t="shared" si="56"/>
        <v>5200</v>
      </c>
    </row>
    <row r="776" spans="1:4">
      <c r="A776" s="148"/>
      <c r="B776" s="160"/>
      <c r="C776" s="160"/>
      <c r="D776" s="160">
        <f t="shared" si="56"/>
        <v>0</v>
      </c>
    </row>
    <row r="777" spans="1:4">
      <c r="A777" s="153" t="s">
        <v>236</v>
      </c>
      <c r="B777" s="163">
        <f>B778</f>
        <v>9500</v>
      </c>
      <c r="C777" s="160">
        <f>C778</f>
        <v>2604</v>
      </c>
      <c r="D777" s="163">
        <f t="shared" si="56"/>
        <v>12104</v>
      </c>
    </row>
    <row r="778" spans="1:4">
      <c r="A778" s="148" t="s">
        <v>136</v>
      </c>
      <c r="B778" s="160">
        <f>B779+B780</f>
        <v>9500</v>
      </c>
      <c r="C778" s="160">
        <f>C779+C780</f>
        <v>2604</v>
      </c>
      <c r="D778" s="160">
        <f t="shared" si="56"/>
        <v>12104</v>
      </c>
    </row>
    <row r="779" spans="1:4">
      <c r="A779" s="151" t="s">
        <v>177</v>
      </c>
      <c r="B779" s="161">
        <v>3000</v>
      </c>
      <c r="C779" s="162"/>
      <c r="D779" s="161">
        <f t="shared" si="56"/>
        <v>3000</v>
      </c>
    </row>
    <row r="780" spans="1:4">
      <c r="A780" s="151" t="s">
        <v>233</v>
      </c>
      <c r="B780" s="161">
        <v>6500</v>
      </c>
      <c r="C780" s="162">
        <v>2604</v>
      </c>
      <c r="D780" s="161">
        <f t="shared" si="56"/>
        <v>9104</v>
      </c>
    </row>
    <row r="781" spans="1:4">
      <c r="A781" s="158"/>
      <c r="B781" s="168"/>
      <c r="C781" s="168"/>
      <c r="D781" s="168">
        <f t="shared" si="56"/>
        <v>0</v>
      </c>
    </row>
    <row r="782" spans="1:4">
      <c r="A782" s="153" t="s">
        <v>237</v>
      </c>
      <c r="B782" s="163">
        <f>B783</f>
        <v>6500</v>
      </c>
      <c r="C782" s="160">
        <f>C783+C785</f>
        <v>786</v>
      </c>
      <c r="D782" s="163">
        <f t="shared" si="56"/>
        <v>7286</v>
      </c>
    </row>
    <row r="783" spans="1:4">
      <c r="A783" s="154" t="s">
        <v>136</v>
      </c>
      <c r="B783" s="167">
        <f>B784</f>
        <v>6500</v>
      </c>
      <c r="C783" s="167"/>
      <c r="D783" s="167">
        <f t="shared" si="56"/>
        <v>6500</v>
      </c>
    </row>
    <row r="784" spans="1:4">
      <c r="A784" s="149" t="s">
        <v>217</v>
      </c>
      <c r="B784" s="162">
        <v>6500</v>
      </c>
      <c r="C784" s="162"/>
      <c r="D784" s="162">
        <f t="shared" si="56"/>
        <v>6500</v>
      </c>
    </row>
    <row r="785" spans="1:4">
      <c r="A785" s="148" t="s">
        <v>126</v>
      </c>
      <c r="B785" s="162"/>
      <c r="C785" s="516">
        <f>C786</f>
        <v>786</v>
      </c>
      <c r="D785" s="162">
        <f t="shared" si="56"/>
        <v>786</v>
      </c>
    </row>
    <row r="786" spans="1:4">
      <c r="A786" s="149" t="s">
        <v>170</v>
      </c>
      <c r="B786" s="162"/>
      <c r="C786" s="516">
        <v>786</v>
      </c>
      <c r="D786" s="162">
        <f t="shared" si="56"/>
        <v>786</v>
      </c>
    </row>
    <row r="787" spans="1:4">
      <c r="A787" s="151"/>
      <c r="B787" s="161"/>
      <c r="C787" s="162"/>
      <c r="D787" s="161">
        <f t="shared" ref="D787:D802" si="61">B787+C787</f>
        <v>0</v>
      </c>
    </row>
    <row r="788" spans="1:4">
      <c r="A788" s="148" t="s">
        <v>238</v>
      </c>
      <c r="B788" s="160">
        <f>B789</f>
        <v>176300</v>
      </c>
      <c r="C788" s="160">
        <f>C789</f>
        <v>-7000</v>
      </c>
      <c r="D788" s="160">
        <f t="shared" si="61"/>
        <v>169300</v>
      </c>
    </row>
    <row r="789" spans="1:4">
      <c r="A789" s="148" t="s">
        <v>130</v>
      </c>
      <c r="B789" s="160">
        <f>B790+B791+B792+B793</f>
        <v>176300</v>
      </c>
      <c r="C789" s="160">
        <f>C790+C791+C792+C793</f>
        <v>-7000</v>
      </c>
      <c r="D789" s="160">
        <f t="shared" si="61"/>
        <v>169300</v>
      </c>
    </row>
    <row r="790" spans="1:4">
      <c r="A790" s="149" t="s">
        <v>177</v>
      </c>
      <c r="B790" s="162">
        <v>16300</v>
      </c>
      <c r="C790" s="162">
        <v>-1000</v>
      </c>
      <c r="D790" s="162">
        <f t="shared" si="61"/>
        <v>15300</v>
      </c>
    </row>
    <row r="791" spans="1:4">
      <c r="A791" s="149" t="s">
        <v>179</v>
      </c>
      <c r="B791" s="162">
        <v>7500</v>
      </c>
      <c r="C791" s="162">
        <v>-7500</v>
      </c>
      <c r="D791" s="162">
        <f t="shared" si="61"/>
        <v>0</v>
      </c>
    </row>
    <row r="792" spans="1:4">
      <c r="A792" s="151" t="s">
        <v>380</v>
      </c>
      <c r="B792" s="161">
        <v>2500</v>
      </c>
      <c r="C792" s="162">
        <v>13500</v>
      </c>
      <c r="D792" s="161">
        <f t="shared" si="61"/>
        <v>16000</v>
      </c>
    </row>
    <row r="793" spans="1:4" ht="25.5">
      <c r="A793" s="151" t="s">
        <v>185</v>
      </c>
      <c r="B793" s="161">
        <v>150000</v>
      </c>
      <c r="C793" s="162">
        <v>-12000</v>
      </c>
      <c r="D793" s="161">
        <f t="shared" si="61"/>
        <v>138000</v>
      </c>
    </row>
    <row r="794" spans="1:4">
      <c r="A794" s="151"/>
      <c r="B794" s="161"/>
      <c r="C794" s="162"/>
      <c r="D794" s="161">
        <f t="shared" si="61"/>
        <v>0</v>
      </c>
    </row>
    <row r="795" spans="1:4">
      <c r="A795" s="148" t="s">
        <v>239</v>
      </c>
      <c r="B795" s="160">
        <f>B796+B800</f>
        <v>6520</v>
      </c>
      <c r="C795" s="160">
        <f>C796+C800</f>
        <v>2100</v>
      </c>
      <c r="D795" s="160">
        <f t="shared" si="61"/>
        <v>8620</v>
      </c>
    </row>
    <row r="796" spans="1:4">
      <c r="A796" s="148" t="s">
        <v>131</v>
      </c>
      <c r="B796" s="160">
        <f>B797+B798+B799</f>
        <v>5200</v>
      </c>
      <c r="C796" s="160">
        <f>C797+C798+C799</f>
        <v>2100</v>
      </c>
      <c r="D796" s="160">
        <f t="shared" si="61"/>
        <v>7300</v>
      </c>
    </row>
    <row r="797" spans="1:4">
      <c r="A797" s="149" t="s">
        <v>177</v>
      </c>
      <c r="B797" s="162">
        <v>1400</v>
      </c>
      <c r="C797" s="162">
        <v>-700</v>
      </c>
      <c r="D797" s="162">
        <f t="shared" si="61"/>
        <v>700</v>
      </c>
    </row>
    <row r="798" spans="1:4">
      <c r="A798" s="149" t="s">
        <v>438</v>
      </c>
      <c r="B798" s="162">
        <v>1800</v>
      </c>
      <c r="C798" s="162">
        <v>2800</v>
      </c>
      <c r="D798" s="162">
        <f t="shared" si="61"/>
        <v>4600</v>
      </c>
    </row>
    <row r="799" spans="1:4">
      <c r="A799" s="151" t="s">
        <v>181</v>
      </c>
      <c r="B799" s="161">
        <v>2000</v>
      </c>
      <c r="C799" s="162"/>
      <c r="D799" s="161">
        <f t="shared" si="61"/>
        <v>2000</v>
      </c>
    </row>
    <row r="800" spans="1:4">
      <c r="A800" s="148" t="s">
        <v>126</v>
      </c>
      <c r="B800" s="160">
        <f>B801</f>
        <v>1320</v>
      </c>
      <c r="C800" s="160"/>
      <c r="D800" s="160">
        <f t="shared" si="61"/>
        <v>1320</v>
      </c>
    </row>
    <row r="801" spans="1:4">
      <c r="A801" s="149" t="s">
        <v>169</v>
      </c>
      <c r="B801" s="162">
        <v>1320</v>
      </c>
      <c r="C801" s="162"/>
      <c r="D801" s="162">
        <f t="shared" si="61"/>
        <v>1320</v>
      </c>
    </row>
    <row r="802" spans="1:4">
      <c r="A802" s="149"/>
      <c r="B802" s="162"/>
      <c r="C802" s="162"/>
      <c r="D802" s="162">
        <f t="shared" si="61"/>
        <v>0</v>
      </c>
    </row>
    <row r="803" spans="1:4">
      <c r="A803" s="150" t="s">
        <v>48</v>
      </c>
      <c r="B803" s="159">
        <f>B5+B10+B18+B25+B33+B101+B207+B295+B375+B387+B404+B414+B435+B465+B471+B501+B546+B572+B634+B670+B728+B759</f>
        <v>75454969</v>
      </c>
      <c r="C803" s="159">
        <f>C5+C10+C18+C25+C33+C101+C207+C295+C375+C387+C404+C414+C435+C465+C471+C501+C546+C572+C634+C670+C728+C759</f>
        <v>3965886</v>
      </c>
      <c r="D803" s="159">
        <f>D5+D10+D18+D25+D33+D101+D207+D295+D375+D387+D404+D414+D435+D465+D471+D501+D546+D572+D634+D670+D728+D759</f>
        <v>79420855</v>
      </c>
    </row>
    <row r="805" spans="1:4">
      <c r="A805" s="192"/>
    </row>
    <row r="806" spans="1:4">
      <c r="A806" s="3" t="s">
        <v>869</v>
      </c>
      <c r="B806" s="122">
        <f>B5</f>
        <v>27484</v>
      </c>
      <c r="C806" s="122">
        <f>C5</f>
        <v>-6830</v>
      </c>
      <c r="D806" s="122">
        <f>D5</f>
        <v>20654</v>
      </c>
    </row>
    <row r="807" spans="1:4">
      <c r="A807" s="3" t="s">
        <v>241</v>
      </c>
      <c r="B807" s="122">
        <f>B10</f>
        <v>662410</v>
      </c>
      <c r="C807" s="122">
        <f>C10</f>
        <v>0</v>
      </c>
      <c r="D807" s="122">
        <f>D10</f>
        <v>662410</v>
      </c>
    </row>
    <row r="808" spans="1:4">
      <c r="A808" s="3" t="s">
        <v>109</v>
      </c>
      <c r="B808" s="122">
        <f>B18</f>
        <v>33066</v>
      </c>
      <c r="C808" s="122">
        <f>C18</f>
        <v>4000</v>
      </c>
      <c r="D808" s="122">
        <f>D18</f>
        <v>37066</v>
      </c>
    </row>
    <row r="809" spans="1:4">
      <c r="A809" s="3" t="s">
        <v>242</v>
      </c>
      <c r="B809" s="122">
        <f>B25</f>
        <v>210938</v>
      </c>
      <c r="C809" s="122">
        <f>C25</f>
        <v>-2845</v>
      </c>
      <c r="D809" s="122">
        <f>D25</f>
        <v>208093</v>
      </c>
    </row>
    <row r="810" spans="1:4">
      <c r="A810" s="3" t="s">
        <v>122</v>
      </c>
      <c r="B810" s="122">
        <f>B33</f>
        <v>27724645</v>
      </c>
      <c r="C810" s="122">
        <f>C33</f>
        <v>979760</v>
      </c>
      <c r="D810" s="122">
        <f>D33</f>
        <v>28704405</v>
      </c>
    </row>
    <row r="811" spans="1:4">
      <c r="A811" s="3" t="s">
        <v>149</v>
      </c>
      <c r="B811" s="122">
        <f>B101</f>
        <v>4960000</v>
      </c>
      <c r="C811" s="122">
        <f>C101</f>
        <v>345000</v>
      </c>
      <c r="D811" s="122">
        <f>D101</f>
        <v>5305000</v>
      </c>
    </row>
    <row r="812" spans="1:4">
      <c r="A812" s="3" t="s">
        <v>246</v>
      </c>
      <c r="B812" s="122">
        <f>B207</f>
        <v>5703674</v>
      </c>
      <c r="C812" s="122">
        <f>C207</f>
        <v>423572</v>
      </c>
      <c r="D812" s="122">
        <f>D207</f>
        <v>6127246</v>
      </c>
    </row>
    <row r="813" spans="1:4">
      <c r="A813" s="3" t="s">
        <v>251</v>
      </c>
      <c r="B813" s="122">
        <f>B295</f>
        <v>13240778</v>
      </c>
      <c r="C813" s="122">
        <f>C295</f>
        <v>1097767</v>
      </c>
      <c r="D813" s="122">
        <f>D295</f>
        <v>14338545</v>
      </c>
    </row>
    <row r="814" spans="1:4">
      <c r="A814" s="5" t="s">
        <v>870</v>
      </c>
      <c r="B814" s="121">
        <f>B375</f>
        <v>3617640</v>
      </c>
      <c r="C814" s="121">
        <f>C375</f>
        <v>17000</v>
      </c>
      <c r="D814" s="121">
        <f>D375</f>
        <v>3634640</v>
      </c>
    </row>
    <row r="815" spans="1:4">
      <c r="A815" s="3" t="s">
        <v>320</v>
      </c>
      <c r="B815" s="121">
        <f>B387</f>
        <v>1194800</v>
      </c>
      <c r="C815" s="121">
        <f>C387</f>
        <v>406520</v>
      </c>
      <c r="D815" s="121">
        <f>D387</f>
        <v>1601320</v>
      </c>
    </row>
    <row r="816" spans="1:4">
      <c r="A816" s="5" t="s">
        <v>871</v>
      </c>
      <c r="B816" s="121">
        <f>B404</f>
        <v>1351873</v>
      </c>
      <c r="C816" s="121">
        <f>C404</f>
        <v>-2684</v>
      </c>
      <c r="D816" s="121">
        <f>D404</f>
        <v>1349189</v>
      </c>
    </row>
    <row r="817" spans="1:4">
      <c r="A817" s="5" t="s">
        <v>872</v>
      </c>
      <c r="B817" s="121">
        <f>B414</f>
        <v>721881</v>
      </c>
      <c r="C817" s="121">
        <f>C414</f>
        <v>159900</v>
      </c>
      <c r="D817" s="121">
        <f>D414</f>
        <v>881781</v>
      </c>
    </row>
    <row r="818" spans="1:4">
      <c r="A818" s="3" t="s">
        <v>352</v>
      </c>
      <c r="B818" s="121">
        <f>B435</f>
        <v>6748914</v>
      </c>
      <c r="C818" s="121">
        <f>C435</f>
        <v>42731</v>
      </c>
      <c r="D818" s="121">
        <f>D435</f>
        <v>6791645</v>
      </c>
    </row>
    <row r="819" spans="1:4">
      <c r="A819" s="3" t="s">
        <v>873</v>
      </c>
      <c r="B819" s="121">
        <f>B465</f>
        <v>9600</v>
      </c>
      <c r="C819" s="121">
        <f>C465</f>
        <v>0</v>
      </c>
      <c r="D819" s="121">
        <f>D465</f>
        <v>9600</v>
      </c>
    </row>
    <row r="820" spans="1:4">
      <c r="A820" s="3" t="s">
        <v>874</v>
      </c>
      <c r="B820" s="121"/>
      <c r="C820" s="121"/>
      <c r="D820" s="121"/>
    </row>
    <row r="821" spans="1:4">
      <c r="A821" s="3" t="s">
        <v>353</v>
      </c>
      <c r="B821" s="121">
        <f>B471</f>
        <v>393770</v>
      </c>
      <c r="C821" s="121">
        <f>C471</f>
        <v>47900</v>
      </c>
      <c r="D821" s="121">
        <f>D471</f>
        <v>441670</v>
      </c>
    </row>
    <row r="822" spans="1:4">
      <c r="A822" s="3" t="s">
        <v>768</v>
      </c>
      <c r="B822" s="121">
        <f>B501</f>
        <v>4542230</v>
      </c>
      <c r="C822" s="121">
        <f>C501</f>
        <v>274500</v>
      </c>
      <c r="D822" s="121">
        <f>D501</f>
        <v>4816730</v>
      </c>
    </row>
    <row r="823" spans="1:4">
      <c r="A823" s="3" t="s">
        <v>361</v>
      </c>
      <c r="B823" s="121">
        <f>B546</f>
        <v>287596</v>
      </c>
      <c r="C823" s="121">
        <f>C546</f>
        <v>17900</v>
      </c>
      <c r="D823" s="121">
        <f>D546</f>
        <v>305496</v>
      </c>
    </row>
    <row r="824" spans="1:4">
      <c r="A824" s="3" t="s">
        <v>362</v>
      </c>
      <c r="B824" s="121">
        <f>B572</f>
        <v>1351890</v>
      </c>
      <c r="C824" s="121">
        <f>C572</f>
        <v>4850</v>
      </c>
      <c r="D824" s="121">
        <f>D572</f>
        <v>1356740</v>
      </c>
    </row>
    <row r="825" spans="1:4">
      <c r="A825" s="3" t="s">
        <v>370</v>
      </c>
      <c r="B825" s="121">
        <f>B634</f>
        <v>620600</v>
      </c>
      <c r="C825" s="121">
        <f>C634</f>
        <v>29630</v>
      </c>
      <c r="D825" s="121">
        <f>D634</f>
        <v>650230</v>
      </c>
    </row>
    <row r="826" spans="1:4">
      <c r="A826" s="3" t="s">
        <v>371</v>
      </c>
      <c r="B826" s="121">
        <f>B670</f>
        <v>698680</v>
      </c>
      <c r="C826" s="121">
        <f>C670</f>
        <v>26035</v>
      </c>
      <c r="D826" s="121">
        <f>D670</f>
        <v>724715</v>
      </c>
    </row>
    <row r="827" spans="1:4">
      <c r="A827" s="3" t="s">
        <v>372</v>
      </c>
      <c r="B827" s="121">
        <f>B728</f>
        <v>244480</v>
      </c>
      <c r="C827" s="121">
        <f>C728</f>
        <v>38090</v>
      </c>
      <c r="D827" s="121">
        <f>D728</f>
        <v>282570</v>
      </c>
    </row>
    <row r="828" spans="1:4">
      <c r="A828" s="3" t="s">
        <v>373</v>
      </c>
      <c r="B828" s="121">
        <f>B759</f>
        <v>1108020</v>
      </c>
      <c r="C828" s="121">
        <f>C759</f>
        <v>63090</v>
      </c>
      <c r="D828" s="121">
        <f>D759</f>
        <v>1171110</v>
      </c>
    </row>
    <row r="829" spans="1:4">
      <c r="A829" s="488" t="s">
        <v>875</v>
      </c>
      <c r="B829" s="45">
        <f t="shared" ref="B829:C829" si="62">SUM(B806:B828)</f>
        <v>75454969</v>
      </c>
      <c r="C829" s="45">
        <f t="shared" si="62"/>
        <v>3965886</v>
      </c>
      <c r="D829" s="45">
        <f t="shared" ref="D829" si="63">SUM(D806:D828)</f>
        <v>79420855</v>
      </c>
    </row>
    <row r="830" spans="1:4">
      <c r="A830" s="216"/>
      <c r="B830" s="99"/>
      <c r="C830" s="99"/>
      <c r="D830" s="99"/>
    </row>
    <row r="831" spans="1:4">
      <c r="A831" s="226"/>
      <c r="B831" s="99"/>
      <c r="C831" s="99"/>
      <c r="D831" s="99"/>
    </row>
    <row r="832" spans="1:4">
      <c r="A832" s="216"/>
      <c r="B832" s="99"/>
      <c r="C832" s="99"/>
      <c r="D832" s="99"/>
    </row>
    <row r="833" spans="1:4">
      <c r="A833" s="216"/>
      <c r="B833" s="99"/>
      <c r="C833" s="99"/>
      <c r="D833" s="99"/>
    </row>
    <row r="834" spans="1:4">
      <c r="A834" s="227"/>
      <c r="B834" s="99"/>
      <c r="C834" s="99"/>
      <c r="D834" s="99"/>
    </row>
    <row r="835" spans="1:4">
      <c r="A835" s="227"/>
      <c r="B835" s="99"/>
      <c r="C835" s="99"/>
      <c r="D835" s="99"/>
    </row>
    <row r="836" spans="1:4">
      <c r="A836" s="228"/>
      <c r="B836" s="99"/>
      <c r="C836" s="99"/>
      <c r="D836" s="99"/>
    </row>
    <row r="837" spans="1:4">
      <c r="A837" s="192"/>
      <c r="B837" s="99"/>
      <c r="C837" s="99"/>
      <c r="D837" s="99"/>
    </row>
    <row r="838" spans="1:4">
      <c r="A838" s="216"/>
      <c r="B838" s="99"/>
      <c r="C838" s="99"/>
      <c r="D838" s="99"/>
    </row>
    <row r="839" spans="1:4">
      <c r="A839" s="216"/>
      <c r="B839" s="99"/>
      <c r="C839" s="99"/>
      <c r="D839" s="99"/>
    </row>
    <row r="840" spans="1:4">
      <c r="A840" s="216"/>
      <c r="B840" s="99"/>
      <c r="C840" s="99"/>
      <c r="D840" s="99"/>
    </row>
    <row r="841" spans="1:4">
      <c r="A841" s="216"/>
      <c r="B841" s="99"/>
      <c r="C841" s="99"/>
      <c r="D841" s="99"/>
    </row>
    <row r="842" spans="1:4">
      <c r="A842" s="216"/>
      <c r="B842" s="99"/>
      <c r="C842" s="99"/>
      <c r="D842" s="99"/>
    </row>
    <row r="843" spans="1:4">
      <c r="A843" s="216"/>
      <c r="B843" s="99"/>
      <c r="C843" s="99"/>
      <c r="D843" s="99"/>
    </row>
    <row r="844" spans="1:4">
      <c r="A844" s="216"/>
      <c r="B844" s="99"/>
      <c r="C844" s="99"/>
      <c r="D844" s="99"/>
    </row>
    <row r="845" spans="1:4">
      <c r="A845" s="216"/>
      <c r="B845" s="99"/>
      <c r="C845" s="99"/>
      <c r="D845" s="99"/>
    </row>
    <row r="846" spans="1:4">
      <c r="A846" s="216"/>
      <c r="B846" s="99"/>
      <c r="C846" s="99"/>
      <c r="D846" s="99"/>
    </row>
    <row r="847" spans="1:4">
      <c r="A847" s="171"/>
      <c r="B847" s="99"/>
      <c r="C847" s="99"/>
      <c r="D847" s="99"/>
    </row>
    <row r="848" spans="1:4">
      <c r="A848" s="140"/>
      <c r="B848" s="99"/>
      <c r="C848" s="99"/>
      <c r="D848" s="99"/>
    </row>
    <row r="849" spans="1:4">
      <c r="A849" s="143"/>
      <c r="B849" s="99"/>
      <c r="C849" s="99"/>
      <c r="D849" s="99"/>
    </row>
    <row r="850" spans="1:4" ht="15.75">
      <c r="A850" s="244"/>
      <c r="B850" s="99"/>
      <c r="C850" s="99"/>
      <c r="D850" s="99"/>
    </row>
    <row r="851" spans="1:4">
      <c r="A851" s="245"/>
      <c r="B851" s="99"/>
      <c r="C851" s="99"/>
      <c r="D851" s="99"/>
    </row>
    <row r="852" spans="1:4">
      <c r="A852" s="245"/>
      <c r="B852" s="99"/>
      <c r="C852" s="99"/>
      <c r="D852" s="99"/>
    </row>
    <row r="853" spans="1:4">
      <c r="A853" s="246"/>
      <c r="B853" s="99"/>
      <c r="C853" s="99"/>
      <c r="D853" s="99"/>
    </row>
    <row r="854" spans="1:4">
      <c r="A854" s="247"/>
      <c r="B854" s="99"/>
      <c r="C854" s="99"/>
      <c r="D854" s="99"/>
    </row>
    <row r="855" spans="1:4">
      <c r="A855" s="248"/>
      <c r="B855" s="99"/>
      <c r="C855" s="99"/>
      <c r="D855" s="99"/>
    </row>
    <row r="856" spans="1:4">
      <c r="A856" s="249"/>
      <c r="B856" s="99"/>
      <c r="C856" s="99"/>
      <c r="D856" s="99"/>
    </row>
    <row r="857" spans="1:4">
      <c r="A857" s="250"/>
      <c r="B857" s="99"/>
      <c r="C857" s="99"/>
      <c r="D857" s="99"/>
    </row>
    <row r="858" spans="1:4" ht="15">
      <c r="A858" s="251"/>
      <c r="B858" s="99"/>
      <c r="C858" s="99"/>
      <c r="D858" s="99"/>
    </row>
    <row r="859" spans="1:4">
      <c r="A859" s="252"/>
      <c r="B859" s="99"/>
      <c r="C859" s="99"/>
      <c r="D859" s="99"/>
    </row>
    <row r="860" spans="1:4">
      <c r="A860" s="253"/>
      <c r="B860" s="99"/>
      <c r="C860" s="99"/>
      <c r="D860" s="99"/>
    </row>
    <row r="861" spans="1:4">
      <c r="A861" s="196"/>
      <c r="B861" s="99"/>
      <c r="C861" s="99"/>
      <c r="D861" s="99"/>
    </row>
    <row r="862" spans="1:4">
      <c r="A862" s="254"/>
      <c r="B862" s="99"/>
      <c r="C862" s="99"/>
      <c r="D862" s="99"/>
    </row>
    <row r="863" spans="1:4">
      <c r="A863" s="199"/>
      <c r="B863" s="99"/>
      <c r="C863" s="99"/>
      <c r="D863" s="99"/>
    </row>
    <row r="864" spans="1:4">
      <c r="A864" s="255"/>
      <c r="B864" s="99"/>
      <c r="C864" s="99"/>
      <c r="D864" s="99"/>
    </row>
    <row r="865" spans="1:4">
      <c r="A865" s="255"/>
      <c r="B865" s="99"/>
      <c r="C865" s="99"/>
      <c r="D865" s="99"/>
    </row>
    <row r="866" spans="1:4" ht="15">
      <c r="A866" s="190"/>
      <c r="B866" s="99"/>
      <c r="C866" s="99"/>
      <c r="D866" s="99"/>
    </row>
    <row r="867" spans="1:4">
      <c r="A867" s="183"/>
      <c r="B867" s="99"/>
      <c r="C867" s="99"/>
      <c r="D867" s="99"/>
    </row>
    <row r="868" spans="1:4">
      <c r="A868" s="253"/>
      <c r="B868" s="99"/>
      <c r="C868" s="99"/>
      <c r="D868" s="99"/>
    </row>
    <row r="869" spans="1:4">
      <c r="A869" s="196"/>
      <c r="B869" s="99"/>
      <c r="C869" s="99"/>
      <c r="D869" s="99"/>
    </row>
    <row r="870" spans="1:4">
      <c r="A870" s="256"/>
      <c r="B870" s="99"/>
      <c r="C870" s="99"/>
      <c r="D870" s="99"/>
    </row>
    <row r="871" spans="1:4">
      <c r="A871" s="199"/>
      <c r="B871" s="99"/>
      <c r="C871" s="99"/>
      <c r="D871" s="99"/>
    </row>
    <row r="872" spans="1:4">
      <c r="A872" s="255"/>
      <c r="B872" s="99"/>
      <c r="C872" s="99"/>
      <c r="D872" s="99"/>
    </row>
    <row r="873" spans="1:4">
      <c r="A873" s="255"/>
      <c r="B873" s="99"/>
      <c r="C873" s="99"/>
      <c r="D873" s="99"/>
    </row>
    <row r="874" spans="1:4">
      <c r="A874" s="257"/>
      <c r="B874" s="99"/>
      <c r="C874" s="99"/>
      <c r="D874" s="99"/>
    </row>
    <row r="875" spans="1:4">
      <c r="A875" s="245"/>
      <c r="B875" s="99"/>
      <c r="C875" s="99"/>
      <c r="D875" s="99"/>
    </row>
    <row r="876" spans="1:4">
      <c r="A876" s="245"/>
      <c r="B876" s="99"/>
      <c r="C876" s="99"/>
      <c r="D876" s="99"/>
    </row>
    <row r="877" spans="1:4">
      <c r="A877" s="239"/>
      <c r="B877" s="99"/>
      <c r="C877" s="99"/>
      <c r="D877" s="99"/>
    </row>
    <row r="878" spans="1:4">
      <c r="A878" s="241"/>
      <c r="B878" s="99"/>
      <c r="C878" s="99"/>
      <c r="D878" s="99"/>
    </row>
    <row r="879" spans="1:4">
      <c r="A879" s="241"/>
      <c r="B879" s="99"/>
      <c r="C879" s="99"/>
      <c r="D879" s="99"/>
    </row>
    <row r="880" spans="1:4">
      <c r="A880" s="239"/>
      <c r="B880" s="99"/>
      <c r="C880" s="99"/>
      <c r="D880" s="99"/>
    </row>
    <row r="881" spans="1:4">
      <c r="A881" s="245"/>
      <c r="B881" s="99"/>
      <c r="C881" s="99"/>
      <c r="D881" s="99"/>
    </row>
    <row r="882" spans="1:4">
      <c r="A882" s="227"/>
      <c r="B882" s="99"/>
      <c r="C882" s="99"/>
      <c r="D882" s="99"/>
    </row>
    <row r="883" spans="1:4">
      <c r="A883" s="222"/>
      <c r="B883" s="99"/>
      <c r="C883" s="99"/>
      <c r="D883" s="99"/>
    </row>
    <row r="884" spans="1:4">
      <c r="A884" s="223"/>
      <c r="B884" s="99"/>
      <c r="C884" s="99"/>
      <c r="D884" s="99"/>
    </row>
    <row r="885" spans="1:4">
      <c r="A885" s="223"/>
      <c r="B885" s="99"/>
      <c r="C885" s="99"/>
      <c r="D885" s="99"/>
    </row>
    <row r="886" spans="1:4">
      <c r="A886" s="223"/>
      <c r="B886" s="99"/>
      <c r="C886" s="99"/>
      <c r="D886" s="99"/>
    </row>
    <row r="887" spans="1:4">
      <c r="A887" s="223"/>
      <c r="B887" s="99"/>
      <c r="C887" s="99"/>
      <c r="D887" s="99"/>
    </row>
    <row r="888" spans="1:4">
      <c r="A888" s="258"/>
      <c r="B888" s="99"/>
      <c r="C888" s="99"/>
      <c r="D888" s="99"/>
    </row>
    <row r="889" spans="1:4">
      <c r="A889" s="223"/>
      <c r="B889" s="99"/>
      <c r="C889" s="99"/>
      <c r="D889" s="99"/>
    </row>
    <row r="890" spans="1:4">
      <c r="A890" s="223"/>
      <c r="B890" s="99"/>
      <c r="C890" s="99"/>
      <c r="D890" s="99"/>
    </row>
    <row r="891" spans="1:4">
      <c r="A891" s="223"/>
      <c r="B891" s="99"/>
      <c r="C891" s="99"/>
      <c r="D891" s="99"/>
    </row>
    <row r="892" spans="1:4">
      <c r="A892" s="223"/>
      <c r="B892" s="99"/>
      <c r="C892" s="99"/>
      <c r="D892" s="99"/>
    </row>
    <row r="893" spans="1:4">
      <c r="A893" s="259"/>
      <c r="B893" s="99"/>
      <c r="C893" s="99"/>
      <c r="D893" s="99"/>
    </row>
    <row r="894" spans="1:4">
      <c r="A894" s="193"/>
      <c r="B894" s="99"/>
      <c r="C894" s="99"/>
      <c r="D894" s="99"/>
    </row>
    <row r="895" spans="1:4">
      <c r="A895" s="259"/>
      <c r="B895" s="99"/>
      <c r="C895" s="99"/>
      <c r="D895" s="99"/>
    </row>
    <row r="896" spans="1:4">
      <c r="A896" s="239"/>
      <c r="B896" s="99"/>
      <c r="C896" s="99"/>
      <c r="D896" s="99"/>
    </row>
    <row r="897" spans="1:4">
      <c r="A897" s="145"/>
      <c r="B897" s="99"/>
      <c r="C897" s="99"/>
      <c r="D897" s="99"/>
    </row>
    <row r="898" spans="1:4">
      <c r="A898" s="145"/>
      <c r="B898" s="99"/>
      <c r="C898" s="99"/>
      <c r="D898" s="99"/>
    </row>
    <row r="899" spans="1:4" ht="15.75">
      <c r="A899" s="234"/>
      <c r="B899" s="99"/>
      <c r="C899" s="99"/>
      <c r="D899" s="99"/>
    </row>
    <row r="900" spans="1:4">
      <c r="A900" s="142"/>
      <c r="B900" s="99"/>
      <c r="C900" s="99"/>
      <c r="D900" s="99"/>
    </row>
    <row r="901" spans="1:4">
      <c r="A901" s="186"/>
      <c r="B901" s="99"/>
      <c r="C901" s="99"/>
      <c r="D901" s="99"/>
    </row>
    <row r="902" spans="1:4">
      <c r="A902" s="187"/>
      <c r="B902" s="99"/>
      <c r="C902" s="99"/>
      <c r="D902" s="99"/>
    </row>
    <row r="903" spans="1:4">
      <c r="A903" s="197"/>
      <c r="B903" s="99"/>
      <c r="C903" s="99"/>
      <c r="D903" s="99"/>
    </row>
    <row r="904" spans="1:4">
      <c r="A904" s="189"/>
      <c r="B904" s="99"/>
      <c r="C904" s="99"/>
      <c r="D904" s="99"/>
    </row>
    <row r="905" spans="1:4">
      <c r="A905" s="173"/>
      <c r="B905" s="99"/>
      <c r="C905" s="99"/>
      <c r="D905" s="99"/>
    </row>
    <row r="906" spans="1:4">
      <c r="A906" s="198"/>
      <c r="B906" s="99"/>
      <c r="C906" s="99"/>
      <c r="D906" s="99"/>
    </row>
    <row r="907" spans="1:4" ht="15">
      <c r="A907" s="185"/>
      <c r="B907" s="99"/>
      <c r="C907" s="99"/>
      <c r="D907" s="99"/>
    </row>
    <row r="908" spans="1:4">
      <c r="A908" s="229"/>
      <c r="B908" s="99"/>
      <c r="C908" s="99"/>
      <c r="D908" s="99"/>
    </row>
    <row r="909" spans="1:4">
      <c r="A909" s="182"/>
      <c r="B909" s="99"/>
      <c r="C909" s="99"/>
      <c r="D909" s="99"/>
    </row>
    <row r="910" spans="1:4">
      <c r="A910" s="195"/>
      <c r="B910" s="99"/>
      <c r="C910" s="99"/>
      <c r="D910" s="99"/>
    </row>
    <row r="911" spans="1:4">
      <c r="A911" s="196"/>
      <c r="B911" s="99"/>
      <c r="C911" s="99"/>
      <c r="D911" s="99"/>
    </row>
    <row r="912" spans="1:4">
      <c r="A912" s="191"/>
      <c r="B912" s="99"/>
      <c r="C912" s="99"/>
      <c r="D912" s="99"/>
    </row>
    <row r="913" spans="1:4">
      <c r="A913" s="191"/>
      <c r="B913" s="99"/>
      <c r="C913" s="99"/>
      <c r="D913" s="99"/>
    </row>
    <row r="914" spans="1:4">
      <c r="A914" s="199"/>
      <c r="B914" s="99"/>
      <c r="C914" s="99"/>
      <c r="D914" s="99"/>
    </row>
    <row r="915" spans="1:4">
      <c r="A915" s="230"/>
      <c r="B915" s="99"/>
      <c r="C915" s="99"/>
      <c r="D915" s="99"/>
    </row>
    <row r="916" spans="1:4">
      <c r="A916" s="230"/>
      <c r="B916" s="99"/>
      <c r="C916" s="99"/>
      <c r="D916" s="99"/>
    </row>
    <row r="917" spans="1:4">
      <c r="A917" s="182"/>
      <c r="B917" s="99"/>
      <c r="C917" s="99"/>
      <c r="D917" s="99"/>
    </row>
    <row r="918" spans="1:4">
      <c r="A918" s="195"/>
      <c r="B918" s="99"/>
      <c r="C918" s="99"/>
      <c r="D918" s="99"/>
    </row>
    <row r="919" spans="1:4">
      <c r="A919" s="196"/>
      <c r="B919" s="99"/>
      <c r="C919" s="99"/>
      <c r="D919" s="99"/>
    </row>
    <row r="920" spans="1:4">
      <c r="A920" s="196"/>
      <c r="B920" s="99"/>
      <c r="C920" s="99"/>
      <c r="D920" s="99"/>
    </row>
    <row r="921" spans="1:4">
      <c r="A921" s="199"/>
      <c r="B921" s="99"/>
      <c r="C921" s="99"/>
      <c r="D921" s="99"/>
    </row>
    <row r="922" spans="1:4">
      <c r="A922" s="230"/>
      <c r="B922" s="99"/>
      <c r="C922" s="99"/>
      <c r="D922" s="99"/>
    </row>
    <row r="923" spans="1:4">
      <c r="A923" s="182"/>
      <c r="B923" s="99"/>
      <c r="C923" s="99"/>
      <c r="D923" s="99"/>
    </row>
    <row r="924" spans="1:4">
      <c r="A924" s="195"/>
      <c r="B924" s="99"/>
      <c r="C924" s="99"/>
      <c r="D924" s="99"/>
    </row>
    <row r="925" spans="1:4">
      <c r="A925" s="196"/>
      <c r="B925" s="99"/>
      <c r="C925" s="99"/>
      <c r="D925" s="99"/>
    </row>
    <row r="926" spans="1:4">
      <c r="A926" s="191"/>
      <c r="B926" s="99"/>
      <c r="C926" s="99"/>
      <c r="D926" s="99"/>
    </row>
    <row r="927" spans="1:4">
      <c r="A927" s="182"/>
      <c r="B927" s="99"/>
      <c r="C927" s="99"/>
      <c r="D927" s="99"/>
    </row>
    <row r="928" spans="1:4">
      <c r="A928" s="199"/>
      <c r="B928" s="99"/>
      <c r="C928" s="99"/>
      <c r="D928" s="99"/>
    </row>
    <row r="929" spans="1:4">
      <c r="A929" s="206"/>
      <c r="B929" s="99"/>
      <c r="C929" s="99"/>
      <c r="D929" s="99"/>
    </row>
    <row r="930" spans="1:4">
      <c r="A930" s="206"/>
      <c r="B930" s="99"/>
      <c r="C930" s="99"/>
      <c r="D930" s="99"/>
    </row>
    <row r="931" spans="1:4">
      <c r="A931" s="195"/>
      <c r="B931" s="99"/>
      <c r="C931" s="99"/>
      <c r="D931" s="99"/>
    </row>
    <row r="932" spans="1:4">
      <c r="A932" s="196"/>
      <c r="B932" s="99"/>
      <c r="C932" s="99"/>
      <c r="D932" s="99"/>
    </row>
    <row r="933" spans="1:4">
      <c r="A933" s="191"/>
      <c r="B933" s="99"/>
      <c r="C933" s="99"/>
      <c r="D933" s="99"/>
    </row>
    <row r="934" spans="1:4">
      <c r="A934" s="182"/>
      <c r="B934" s="99"/>
      <c r="C934" s="99"/>
      <c r="D934" s="99"/>
    </row>
    <row r="935" spans="1:4">
      <c r="A935" s="199"/>
      <c r="B935" s="99"/>
      <c r="C935" s="99"/>
      <c r="D935" s="99"/>
    </row>
    <row r="936" spans="1:4">
      <c r="A936" s="206"/>
      <c r="B936" s="99"/>
      <c r="C936" s="99"/>
      <c r="D936" s="99"/>
    </row>
    <row r="937" spans="1:4">
      <c r="A937" s="5"/>
      <c r="B937" s="99"/>
      <c r="C937" s="99"/>
      <c r="D937" s="99"/>
    </row>
  </sheetData>
  <autoFilter ref="A4:D803"/>
  <mergeCells count="1">
    <mergeCell ref="B3:D3"/>
  </mergeCells>
  <phoneticPr fontId="32" type="noConversion"/>
  <printOptions gridLines="1"/>
  <pageMargins left="0.39370078740157483" right="0.39370078740157483" top="0.74803149606299213" bottom="0.74803149606299213" header="0.31496062992125984" footer="0.31496062992125984"/>
  <pageSetup paperSize="9" scale="72" orientation="portrait" r:id="rId1"/>
  <headerFooter alignWithMargins="0"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</sheetPr>
  <dimension ref="A1:D121"/>
  <sheetViews>
    <sheetView showZeros="0" zoomScaleNormal="100" workbookViewId="0">
      <pane ySplit="5" topLeftCell="A6" activePane="bottomLeft" state="frozen"/>
      <selection activeCell="F154" sqref="F154"/>
      <selection pane="bottomLeft"/>
    </sheetView>
  </sheetViews>
  <sheetFormatPr defaultColWidth="9.140625" defaultRowHeight="12.75"/>
  <cols>
    <col min="1" max="1" width="41.7109375" style="93" customWidth="1"/>
    <col min="2" max="2" width="11.140625" style="93" bestFit="1" customWidth="1"/>
    <col min="3" max="3" width="11.140625" style="93" hidden="1" customWidth="1"/>
    <col min="4" max="5" width="11.140625" style="93" bestFit="1" customWidth="1"/>
    <col min="6" max="16384" width="9.140625" style="93"/>
  </cols>
  <sheetData>
    <row r="1" spans="1:4">
      <c r="A1" s="35" t="s">
        <v>1</v>
      </c>
    </row>
    <row r="2" spans="1:4" ht="12.75" customHeight="1">
      <c r="A2" s="47"/>
    </row>
    <row r="3" spans="1:4" ht="24.75" customHeight="1">
      <c r="A3" s="78"/>
      <c r="B3" s="593">
        <v>2018</v>
      </c>
      <c r="C3" s="594"/>
      <c r="D3" s="595"/>
    </row>
    <row r="4" spans="1:4" ht="29.25" customHeight="1">
      <c r="A4" s="78"/>
      <c r="B4" s="576" t="s">
        <v>835</v>
      </c>
      <c r="C4" s="575" t="s">
        <v>940</v>
      </c>
      <c r="D4" s="577" t="s">
        <v>836</v>
      </c>
    </row>
    <row r="5" spans="1:4">
      <c r="A5" s="67"/>
      <c r="B5" s="105"/>
      <c r="C5" s="105"/>
      <c r="D5" s="105"/>
    </row>
    <row r="6" spans="1:4">
      <c r="A6" s="136" t="s">
        <v>907</v>
      </c>
      <c r="B6" s="80">
        <f>B8+B38+B21</f>
        <v>123498889</v>
      </c>
      <c r="C6" s="80">
        <f>C8+C38+C21</f>
        <v>20546506</v>
      </c>
      <c r="D6" s="80">
        <f>D8+D38+D21</f>
        <v>144045395</v>
      </c>
    </row>
    <row r="7" spans="1:4">
      <c r="A7" s="136"/>
      <c r="B7" s="80"/>
      <c r="C7" s="80"/>
      <c r="D7" s="80">
        <f t="shared" ref="D7:D63" si="0">B7+C7</f>
        <v>0</v>
      </c>
    </row>
    <row r="8" spans="1:4">
      <c r="A8" s="35" t="s">
        <v>67</v>
      </c>
      <c r="B8" s="125">
        <f>B9+B10</f>
        <v>93199352</v>
      </c>
      <c r="C8" s="125">
        <f>C9+C10</f>
        <v>19503968</v>
      </c>
      <c r="D8" s="125">
        <f t="shared" si="0"/>
        <v>112703320</v>
      </c>
    </row>
    <row r="9" spans="1:4">
      <c r="A9" s="106" t="s">
        <v>4</v>
      </c>
      <c r="B9" s="112">
        <f>89000000+109020</f>
        <v>89109020</v>
      </c>
      <c r="C9" s="112">
        <f>18500000-1063</f>
        <v>18498937</v>
      </c>
      <c r="D9" s="112">
        <f t="shared" si="0"/>
        <v>107607957</v>
      </c>
    </row>
    <row r="10" spans="1:4">
      <c r="A10" s="107" t="s">
        <v>2</v>
      </c>
      <c r="B10" s="112">
        <f>B11+B16+B17+B19</f>
        <v>4090332</v>
      </c>
      <c r="C10" s="79">
        <v>1005031</v>
      </c>
      <c r="D10" s="112">
        <f t="shared" si="0"/>
        <v>5095363</v>
      </c>
    </row>
    <row r="11" spans="1:4">
      <c r="A11" s="108" t="s">
        <v>148</v>
      </c>
      <c r="B11" s="82">
        <v>3425715</v>
      </c>
      <c r="C11" s="82">
        <v>-12024</v>
      </c>
      <c r="D11" s="82">
        <f t="shared" si="0"/>
        <v>3413691</v>
      </c>
    </row>
    <row r="12" spans="1:4" s="572" customFormat="1">
      <c r="A12" s="86" t="s">
        <v>950</v>
      </c>
      <c r="B12" s="573"/>
      <c r="C12" s="82">
        <f>SUM(C13:C14)</f>
        <v>341170</v>
      </c>
      <c r="D12" s="82">
        <f t="shared" si="0"/>
        <v>341170</v>
      </c>
    </row>
    <row r="13" spans="1:4" s="572" customFormat="1">
      <c r="A13" s="579" t="s">
        <v>951</v>
      </c>
      <c r="B13" s="573"/>
      <c r="C13" s="526">
        <v>157022</v>
      </c>
      <c r="D13" s="82">
        <f t="shared" si="0"/>
        <v>157022</v>
      </c>
    </row>
    <row r="14" spans="1:4" s="572" customFormat="1">
      <c r="A14" s="579" t="s">
        <v>952</v>
      </c>
      <c r="B14" s="573"/>
      <c r="C14" s="526">
        <v>184148</v>
      </c>
      <c r="D14" s="82">
        <f t="shared" si="0"/>
        <v>184148</v>
      </c>
    </row>
    <row r="15" spans="1:4" s="572" customFormat="1">
      <c r="A15" s="86" t="s">
        <v>953</v>
      </c>
      <c r="B15" s="573"/>
      <c r="C15" s="82">
        <v>487667</v>
      </c>
      <c r="D15" s="82">
        <f t="shared" si="0"/>
        <v>487667</v>
      </c>
    </row>
    <row r="16" spans="1:4">
      <c r="A16" s="86" t="s">
        <v>447</v>
      </c>
      <c r="B16" s="82">
        <v>364617</v>
      </c>
      <c r="C16" s="82">
        <v>8541</v>
      </c>
      <c r="D16" s="82">
        <f t="shared" si="0"/>
        <v>373158</v>
      </c>
    </row>
    <row r="17" spans="1:4" ht="36">
      <c r="A17" s="555" t="s">
        <v>642</v>
      </c>
      <c r="B17" s="556">
        <v>300000</v>
      </c>
      <c r="C17" s="557">
        <v>179677</v>
      </c>
      <c r="D17" s="556">
        <f t="shared" si="0"/>
        <v>479677</v>
      </c>
    </row>
    <row r="18" spans="1:4" hidden="1">
      <c r="A18" s="509"/>
      <c r="B18" s="463"/>
      <c r="C18" s="82"/>
      <c r="D18" s="463"/>
    </row>
    <row r="19" spans="1:4" hidden="1">
      <c r="A19" s="509"/>
      <c r="B19" s="463"/>
      <c r="C19" s="82"/>
      <c r="D19" s="463">
        <f t="shared" si="0"/>
        <v>0</v>
      </c>
    </row>
    <row r="20" spans="1:4">
      <c r="A20" s="509"/>
      <c r="B20" s="463"/>
      <c r="C20" s="527"/>
      <c r="D20" s="463">
        <f t="shared" si="0"/>
        <v>0</v>
      </c>
    </row>
    <row r="21" spans="1:4">
      <c r="A21" s="35" t="s">
        <v>144</v>
      </c>
      <c r="B21" s="125">
        <f>B26+B22</f>
        <v>1781533</v>
      </c>
      <c r="C21" s="125">
        <f>C22+C26</f>
        <v>290658</v>
      </c>
      <c r="D21" s="125">
        <f t="shared" si="0"/>
        <v>2072191</v>
      </c>
    </row>
    <row r="22" spans="1:4">
      <c r="A22" s="123" t="s">
        <v>895</v>
      </c>
      <c r="B22" s="126"/>
      <c r="C22" s="126">
        <f>SUM(C24)</f>
        <v>490</v>
      </c>
      <c r="D22" s="126">
        <f t="shared" si="0"/>
        <v>490</v>
      </c>
    </row>
    <row r="23" spans="1:4">
      <c r="A23" s="124" t="s">
        <v>588</v>
      </c>
      <c r="B23" s="126"/>
      <c r="C23" s="126">
        <f>C24</f>
        <v>490</v>
      </c>
      <c r="D23" s="126">
        <f>D24</f>
        <v>490</v>
      </c>
    </row>
    <row r="24" spans="1:4" ht="36">
      <c r="A24" s="424" t="s">
        <v>899</v>
      </c>
      <c r="B24" s="462"/>
      <c r="C24" s="528">
        <v>490</v>
      </c>
      <c r="D24" s="462">
        <f t="shared" si="0"/>
        <v>490</v>
      </c>
    </row>
    <row r="25" spans="1:4">
      <c r="A25" s="123"/>
      <c r="B25" s="126"/>
      <c r="C25" s="528"/>
      <c r="D25" s="126">
        <f t="shared" si="0"/>
        <v>0</v>
      </c>
    </row>
    <row r="26" spans="1:4">
      <c r="A26" s="123" t="s">
        <v>2</v>
      </c>
      <c r="B26" s="126">
        <f>B31+B35+B28</f>
        <v>1781533</v>
      </c>
      <c r="C26" s="126">
        <f>C31+C35+C28</f>
        <v>290168</v>
      </c>
      <c r="D26" s="126">
        <f t="shared" si="0"/>
        <v>2071701</v>
      </c>
    </row>
    <row r="27" spans="1:4">
      <c r="A27" s="124"/>
      <c r="B27" s="464"/>
      <c r="C27" s="527"/>
      <c r="D27" s="464">
        <f t="shared" si="0"/>
        <v>0</v>
      </c>
    </row>
    <row r="28" spans="1:4">
      <c r="A28" s="113" t="s">
        <v>149</v>
      </c>
      <c r="B28" s="465">
        <f>B29</f>
        <v>67679</v>
      </c>
      <c r="C28" s="529"/>
      <c r="D28" s="465">
        <f t="shared" si="0"/>
        <v>67679</v>
      </c>
    </row>
    <row r="29" spans="1:4" ht="24">
      <c r="A29" s="359" t="s">
        <v>830</v>
      </c>
      <c r="B29" s="458">
        <f>22679+45000</f>
        <v>67679</v>
      </c>
      <c r="C29" s="528"/>
      <c r="D29" s="458">
        <f t="shared" si="0"/>
        <v>67679</v>
      </c>
    </row>
    <row r="30" spans="1:4">
      <c r="A30" s="114"/>
      <c r="B30" s="466"/>
      <c r="C30" s="531"/>
      <c r="D30" s="466">
        <f t="shared" si="0"/>
        <v>0</v>
      </c>
    </row>
    <row r="31" spans="1:4">
      <c r="A31" s="124" t="s">
        <v>588</v>
      </c>
      <c r="B31" s="464">
        <f>SUM(B32:B32)</f>
        <v>1513854</v>
      </c>
      <c r="C31" s="335">
        <f>SUM(C32:C33)</f>
        <v>290168</v>
      </c>
      <c r="D31" s="464">
        <f t="shared" si="0"/>
        <v>1804022</v>
      </c>
    </row>
    <row r="32" spans="1:4">
      <c r="A32" s="114" t="s">
        <v>643</v>
      </c>
      <c r="B32" s="466">
        <v>1513854</v>
      </c>
      <c r="C32" s="531"/>
      <c r="D32" s="466">
        <f t="shared" si="0"/>
        <v>1513854</v>
      </c>
    </row>
    <row r="33" spans="1:4">
      <c r="A33" s="530" t="s">
        <v>914</v>
      </c>
      <c r="B33" s="466"/>
      <c r="C33" s="531">
        <v>290168</v>
      </c>
      <c r="D33" s="466">
        <f t="shared" si="0"/>
        <v>290168</v>
      </c>
    </row>
    <row r="34" spans="1:4">
      <c r="A34" s="114"/>
      <c r="B34" s="466"/>
      <c r="C34" s="531"/>
      <c r="D34" s="466">
        <f t="shared" si="0"/>
        <v>0</v>
      </c>
    </row>
    <row r="35" spans="1:4">
      <c r="A35" s="124" t="s">
        <v>108</v>
      </c>
      <c r="B35" s="464">
        <f>SUM(B36)</f>
        <v>200000</v>
      </c>
      <c r="C35" s="335"/>
      <c r="D35" s="464">
        <f t="shared" si="0"/>
        <v>200000</v>
      </c>
    </row>
    <row r="36" spans="1:4">
      <c r="A36" s="114" t="s">
        <v>644</v>
      </c>
      <c r="B36" s="466">
        <v>200000</v>
      </c>
      <c r="C36" s="531"/>
      <c r="D36" s="466">
        <f t="shared" si="0"/>
        <v>200000</v>
      </c>
    </row>
    <row r="37" spans="1:4">
      <c r="A37" s="1"/>
      <c r="B37" s="463"/>
      <c r="C37" s="527"/>
      <c r="D37" s="463">
        <f t="shared" si="0"/>
        <v>0</v>
      </c>
    </row>
    <row r="38" spans="1:4">
      <c r="A38" s="35" t="s">
        <v>3</v>
      </c>
      <c r="B38" s="125">
        <f>B39+B85</f>
        <v>28518004</v>
      </c>
      <c r="C38" s="125">
        <f>C39+C85</f>
        <v>751880</v>
      </c>
      <c r="D38" s="125">
        <f t="shared" si="0"/>
        <v>29269884</v>
      </c>
    </row>
    <row r="39" spans="1:4">
      <c r="A39" s="1" t="s">
        <v>4</v>
      </c>
      <c r="B39" s="463">
        <f>B41+B44+B47+B54+B57+B70+B73+B81</f>
        <v>1590219</v>
      </c>
      <c r="C39" s="335">
        <f>C41+C44+C47+C54+C57+C73+C81+C70</f>
        <v>291161</v>
      </c>
      <c r="D39" s="463">
        <f t="shared" si="0"/>
        <v>1881380</v>
      </c>
    </row>
    <row r="40" spans="1:4">
      <c r="A40" s="63"/>
      <c r="B40" s="82"/>
      <c r="C40" s="527"/>
      <c r="D40" s="82">
        <f t="shared" si="0"/>
        <v>0</v>
      </c>
    </row>
    <row r="41" spans="1:4">
      <c r="A41" s="113" t="s">
        <v>122</v>
      </c>
      <c r="B41" s="465">
        <f>B42</f>
        <v>126208</v>
      </c>
      <c r="C41" s="527"/>
      <c r="D41" s="465">
        <f t="shared" si="0"/>
        <v>126208</v>
      </c>
    </row>
    <row r="42" spans="1:4" ht="24">
      <c r="A42" s="359" t="s">
        <v>441</v>
      </c>
      <c r="B42" s="458">
        <v>126208</v>
      </c>
      <c r="C42" s="527"/>
      <c r="D42" s="458">
        <f t="shared" si="0"/>
        <v>126208</v>
      </c>
    </row>
    <row r="43" spans="1:4">
      <c r="A43" s="336"/>
      <c r="B43" s="459"/>
      <c r="C43" s="527"/>
      <c r="D43" s="459">
        <f t="shared" si="0"/>
        <v>0</v>
      </c>
    </row>
    <row r="44" spans="1:4">
      <c r="A44" s="113" t="s">
        <v>149</v>
      </c>
      <c r="B44" s="465">
        <f>B45</f>
        <v>7443</v>
      </c>
      <c r="C44" s="527"/>
      <c r="D44" s="465">
        <f t="shared" si="0"/>
        <v>7443</v>
      </c>
    </row>
    <row r="45" spans="1:4" ht="36">
      <c r="A45" s="359" t="s">
        <v>442</v>
      </c>
      <c r="B45" s="458">
        <v>7443</v>
      </c>
      <c r="C45" s="527"/>
      <c r="D45" s="458">
        <f t="shared" si="0"/>
        <v>7443</v>
      </c>
    </row>
    <row r="46" spans="1:4">
      <c r="A46" s="113"/>
      <c r="B46" s="465"/>
      <c r="C46" s="527"/>
      <c r="D46" s="465">
        <f t="shared" si="0"/>
        <v>0</v>
      </c>
    </row>
    <row r="47" spans="1:4">
      <c r="A47" s="113" t="s">
        <v>251</v>
      </c>
      <c r="B47" s="465">
        <f>B48+B49+B50</f>
        <v>303447</v>
      </c>
      <c r="C47" s="527">
        <f>C48+C49+C50+C51+C52</f>
        <v>41508</v>
      </c>
      <c r="D47" s="465">
        <f t="shared" si="0"/>
        <v>344955</v>
      </c>
    </row>
    <row r="48" spans="1:4" ht="24">
      <c r="A48" s="133" t="s">
        <v>665</v>
      </c>
      <c r="B48" s="460">
        <v>95622</v>
      </c>
      <c r="C48" s="527"/>
      <c r="D48" s="460">
        <f t="shared" si="0"/>
        <v>95622</v>
      </c>
    </row>
    <row r="49" spans="1:4" ht="24">
      <c r="A49" s="133" t="s">
        <v>514</v>
      </c>
      <c r="B49" s="460">
        <v>180625</v>
      </c>
      <c r="C49" s="527"/>
      <c r="D49" s="460">
        <f t="shared" si="0"/>
        <v>180625</v>
      </c>
    </row>
    <row r="50" spans="1:4" ht="24">
      <c r="A50" s="133" t="s">
        <v>515</v>
      </c>
      <c r="B50" s="460">
        <v>27200</v>
      </c>
      <c r="C50" s="527"/>
      <c r="D50" s="460">
        <f t="shared" si="0"/>
        <v>27200</v>
      </c>
    </row>
    <row r="51" spans="1:4">
      <c r="A51" s="336" t="s">
        <v>915</v>
      </c>
      <c r="B51" s="460"/>
      <c r="C51" s="527">
        <v>7508</v>
      </c>
      <c r="D51" s="460">
        <f t="shared" si="0"/>
        <v>7508</v>
      </c>
    </row>
    <row r="52" spans="1:4">
      <c r="A52" s="336" t="s">
        <v>916</v>
      </c>
      <c r="B52" s="460"/>
      <c r="C52" s="527">
        <v>34000</v>
      </c>
      <c r="D52" s="460">
        <f t="shared" si="0"/>
        <v>34000</v>
      </c>
    </row>
    <row r="53" spans="1:4">
      <c r="A53" s="133"/>
      <c r="B53" s="460"/>
      <c r="C53" s="527"/>
      <c r="D53" s="460">
        <f t="shared" si="0"/>
        <v>0</v>
      </c>
    </row>
    <row r="54" spans="1:4">
      <c r="A54" s="113" t="s">
        <v>320</v>
      </c>
      <c r="B54" s="465">
        <f>B55</f>
        <v>62785</v>
      </c>
      <c r="C54" s="527"/>
      <c r="D54" s="465">
        <f t="shared" si="0"/>
        <v>62785</v>
      </c>
    </row>
    <row r="55" spans="1:4" ht="48">
      <c r="A55" s="133" t="s">
        <v>831</v>
      </c>
      <c r="B55" s="460">
        <v>62785</v>
      </c>
      <c r="C55" s="527"/>
      <c r="D55" s="460">
        <f t="shared" si="0"/>
        <v>62785</v>
      </c>
    </row>
    <row r="56" spans="1:4">
      <c r="A56" s="101"/>
      <c r="B56" s="461"/>
      <c r="C56" s="527"/>
      <c r="D56" s="461">
        <f t="shared" si="0"/>
        <v>0</v>
      </c>
    </row>
    <row r="57" spans="1:4">
      <c r="A57" s="113" t="s">
        <v>108</v>
      </c>
      <c r="B57" s="465">
        <f>SUM(B58:B67)</f>
        <v>791999</v>
      </c>
      <c r="C57" s="529">
        <f>SUM(C58:C68)</f>
        <v>21627</v>
      </c>
      <c r="D57" s="465">
        <f t="shared" si="0"/>
        <v>813626</v>
      </c>
    </row>
    <row r="58" spans="1:4" ht="24">
      <c r="A58" s="424" t="s">
        <v>787</v>
      </c>
      <c r="B58" s="461">
        <v>25000</v>
      </c>
      <c r="C58" s="82">
        <v>11386</v>
      </c>
      <c r="D58" s="461">
        <f t="shared" si="0"/>
        <v>36386</v>
      </c>
    </row>
    <row r="59" spans="1:4" ht="24">
      <c r="A59" s="424" t="s">
        <v>645</v>
      </c>
      <c r="B59" s="461">
        <v>53125</v>
      </c>
      <c r="C59" s="82"/>
      <c r="D59" s="461">
        <f t="shared" si="0"/>
        <v>53125</v>
      </c>
    </row>
    <row r="60" spans="1:4">
      <c r="A60" s="424" t="s">
        <v>646</v>
      </c>
      <c r="B60" s="461">
        <v>4200</v>
      </c>
      <c r="C60" s="82"/>
      <c r="D60" s="461">
        <f t="shared" si="0"/>
        <v>4200</v>
      </c>
    </row>
    <row r="61" spans="1:4" ht="24">
      <c r="A61" s="424" t="s">
        <v>829</v>
      </c>
      <c r="B61" s="461">
        <v>7574</v>
      </c>
      <c r="C61" s="82"/>
      <c r="D61" s="461">
        <f t="shared" si="0"/>
        <v>7574</v>
      </c>
    </row>
    <row r="62" spans="1:4">
      <c r="A62" s="424" t="s">
        <v>647</v>
      </c>
      <c r="B62" s="461">
        <f>47175-4250</f>
        <v>42925</v>
      </c>
      <c r="C62" s="82"/>
      <c r="D62" s="461">
        <f t="shared" si="0"/>
        <v>42925</v>
      </c>
    </row>
    <row r="63" spans="1:4" ht="36">
      <c r="A63" s="424" t="s">
        <v>648</v>
      </c>
      <c r="B63" s="461">
        <v>85000</v>
      </c>
      <c r="C63" s="82"/>
      <c r="D63" s="461">
        <f t="shared" si="0"/>
        <v>85000</v>
      </c>
    </row>
    <row r="64" spans="1:4" ht="26.25" customHeight="1">
      <c r="A64" s="424" t="s">
        <v>795</v>
      </c>
      <c r="B64" s="461">
        <v>374000</v>
      </c>
      <c r="C64" s="82"/>
      <c r="D64" s="461">
        <f t="shared" ref="D64:D121" si="1">B64+C64</f>
        <v>374000</v>
      </c>
    </row>
    <row r="65" spans="1:4" ht="36">
      <c r="A65" s="425" t="s">
        <v>785</v>
      </c>
      <c r="B65" s="503">
        <v>81175</v>
      </c>
      <c r="C65" s="533">
        <v>-4059</v>
      </c>
      <c r="D65" s="503">
        <f t="shared" si="1"/>
        <v>77116</v>
      </c>
    </row>
    <row r="66" spans="1:4">
      <c r="A66" s="63" t="s">
        <v>786</v>
      </c>
      <c r="B66" s="504">
        <f>110500+8500</f>
        <v>119000</v>
      </c>
      <c r="C66" s="82"/>
      <c r="D66" s="504">
        <f t="shared" si="1"/>
        <v>119000</v>
      </c>
    </row>
    <row r="67" spans="1:4">
      <c r="A67" s="561" t="s">
        <v>900</v>
      </c>
      <c r="B67" s="539"/>
      <c r="C67" s="557">
        <v>10000</v>
      </c>
      <c r="D67" s="539">
        <f t="shared" si="1"/>
        <v>10000</v>
      </c>
    </row>
    <row r="68" spans="1:4" ht="24">
      <c r="A68" s="424" t="s">
        <v>931</v>
      </c>
      <c r="B68" s="461"/>
      <c r="C68" s="82">
        <v>4300</v>
      </c>
      <c r="D68" s="504" t="e">
        <f>#REF!+C68</f>
        <v>#REF!</v>
      </c>
    </row>
    <row r="69" spans="1:4">
      <c r="A69" s="424"/>
      <c r="B69" s="461"/>
      <c r="C69" s="82"/>
      <c r="D69" s="461">
        <f t="shared" si="1"/>
        <v>0</v>
      </c>
    </row>
    <row r="70" spans="1:4">
      <c r="A70" s="426" t="s">
        <v>348</v>
      </c>
      <c r="B70" s="465">
        <f t="shared" ref="B70" si="2">SUM(B71)</f>
        <v>0</v>
      </c>
      <c r="C70" s="529">
        <f>SUM(C71)</f>
        <v>18650</v>
      </c>
      <c r="D70" s="465">
        <f t="shared" si="1"/>
        <v>18650</v>
      </c>
    </row>
    <row r="71" spans="1:4" ht="36">
      <c r="A71" s="424" t="s">
        <v>899</v>
      </c>
      <c r="B71" s="461"/>
      <c r="C71" s="504">
        <v>18650</v>
      </c>
      <c r="D71" s="461">
        <f t="shared" si="1"/>
        <v>18650</v>
      </c>
    </row>
    <row r="72" spans="1:4">
      <c r="A72" s="424"/>
      <c r="B72" s="461"/>
      <c r="C72" s="534"/>
      <c r="D72" s="461">
        <f t="shared" si="1"/>
        <v>0</v>
      </c>
    </row>
    <row r="73" spans="1:4">
      <c r="A73" s="113" t="s">
        <v>352</v>
      </c>
      <c r="B73" s="465">
        <f>SUM(B74:B78)</f>
        <v>225749</v>
      </c>
      <c r="C73" s="529">
        <f>SUM(C74:C79)</f>
        <v>171290</v>
      </c>
      <c r="D73" s="465">
        <f t="shared" si="1"/>
        <v>397039</v>
      </c>
    </row>
    <row r="74" spans="1:4">
      <c r="A74" s="101" t="s">
        <v>649</v>
      </c>
      <c r="B74" s="461">
        <v>6722</v>
      </c>
      <c r="C74" s="504"/>
      <c r="D74" s="461">
        <f t="shared" si="1"/>
        <v>6722</v>
      </c>
    </row>
    <row r="75" spans="1:4">
      <c r="A75" s="101" t="s">
        <v>650</v>
      </c>
      <c r="B75" s="461">
        <v>13507</v>
      </c>
      <c r="C75" s="504"/>
      <c r="D75" s="461">
        <f t="shared" si="1"/>
        <v>13507</v>
      </c>
    </row>
    <row r="76" spans="1:4" ht="24">
      <c r="A76" s="101" t="s">
        <v>651</v>
      </c>
      <c r="B76" s="461">
        <f>166521-17850</f>
        <v>148671</v>
      </c>
      <c r="C76" s="504"/>
      <c r="D76" s="461">
        <f t="shared" si="1"/>
        <v>148671</v>
      </c>
    </row>
    <row r="77" spans="1:4" ht="36">
      <c r="A77" s="101" t="s">
        <v>652</v>
      </c>
      <c r="B77" s="461">
        <v>56849</v>
      </c>
      <c r="C77" s="504"/>
      <c r="D77" s="461">
        <f t="shared" si="1"/>
        <v>56849</v>
      </c>
    </row>
    <row r="78" spans="1:4" ht="36">
      <c r="A78" s="101" t="s">
        <v>901</v>
      </c>
      <c r="B78" s="505"/>
      <c r="C78" s="504">
        <f>90630+68660</f>
        <v>159290</v>
      </c>
      <c r="D78" s="505">
        <f t="shared" si="1"/>
        <v>159290</v>
      </c>
    </row>
    <row r="79" spans="1:4">
      <c r="A79" s="532" t="s">
        <v>917</v>
      </c>
      <c r="B79" s="505"/>
      <c r="C79" s="504">
        <v>12000</v>
      </c>
      <c r="D79" s="505">
        <f t="shared" si="1"/>
        <v>12000</v>
      </c>
    </row>
    <row r="80" spans="1:4">
      <c r="A80" s="101"/>
      <c r="B80" s="505"/>
      <c r="C80" s="504"/>
      <c r="D80" s="505">
        <f t="shared" si="1"/>
        <v>0</v>
      </c>
    </row>
    <row r="81" spans="1:4">
      <c r="A81" s="113" t="s">
        <v>110</v>
      </c>
      <c r="B81" s="465">
        <f>SUM(B82:B83)</f>
        <v>72588</v>
      </c>
      <c r="C81" s="529">
        <f>SUM(C82:C83)</f>
        <v>38086</v>
      </c>
      <c r="D81" s="465">
        <f t="shared" si="1"/>
        <v>110674</v>
      </c>
    </row>
    <row r="82" spans="1:4" ht="24">
      <c r="A82" s="101" t="s">
        <v>653</v>
      </c>
      <c r="B82" s="461">
        <v>72588</v>
      </c>
      <c r="C82" s="504"/>
      <c r="D82" s="461">
        <f t="shared" si="1"/>
        <v>72588</v>
      </c>
    </row>
    <row r="83" spans="1:4" ht="24">
      <c r="A83" s="101" t="s">
        <v>902</v>
      </c>
      <c r="B83" s="461"/>
      <c r="C83" s="504">
        <v>38086</v>
      </c>
      <c r="D83" s="461">
        <f t="shared" si="1"/>
        <v>38086</v>
      </c>
    </row>
    <row r="84" spans="1:4">
      <c r="A84" s="83"/>
      <c r="B84" s="467"/>
      <c r="C84" s="527"/>
      <c r="D84" s="467">
        <f t="shared" si="1"/>
        <v>0</v>
      </c>
    </row>
    <row r="85" spans="1:4">
      <c r="A85" s="84" t="s">
        <v>2</v>
      </c>
      <c r="B85" s="79">
        <f>B87+B92+B96+B100+B119</f>
        <v>26927785</v>
      </c>
      <c r="C85" s="79">
        <f>C87+C92+C96+C100+C119</f>
        <v>460719</v>
      </c>
      <c r="D85" s="79">
        <f t="shared" si="1"/>
        <v>27388504</v>
      </c>
    </row>
    <row r="86" spans="1:4">
      <c r="A86" s="84"/>
      <c r="B86" s="79"/>
      <c r="C86" s="527"/>
      <c r="D86" s="79">
        <f t="shared" si="1"/>
        <v>0</v>
      </c>
    </row>
    <row r="87" spans="1:4">
      <c r="A87" s="357" t="s">
        <v>122</v>
      </c>
      <c r="B87" s="468">
        <f>SUM(B88:B90)</f>
        <v>1664477</v>
      </c>
      <c r="C87" s="527"/>
      <c r="D87" s="468">
        <f t="shared" si="1"/>
        <v>1664477</v>
      </c>
    </row>
    <row r="88" spans="1:4" ht="24">
      <c r="A88" s="358" t="s">
        <v>444</v>
      </c>
      <c r="B88" s="469">
        <v>423978</v>
      </c>
      <c r="C88" s="527"/>
      <c r="D88" s="469">
        <f t="shared" si="1"/>
        <v>423978</v>
      </c>
    </row>
    <row r="89" spans="1:4" ht="24">
      <c r="A89" s="358" t="s">
        <v>445</v>
      </c>
      <c r="B89" s="469">
        <v>390499</v>
      </c>
      <c r="C89" s="527"/>
      <c r="D89" s="469">
        <f t="shared" si="1"/>
        <v>390499</v>
      </c>
    </row>
    <row r="90" spans="1:4" ht="24">
      <c r="A90" s="358" t="s">
        <v>446</v>
      </c>
      <c r="B90" s="469">
        <v>850000</v>
      </c>
      <c r="C90" s="527"/>
      <c r="D90" s="469">
        <f t="shared" si="1"/>
        <v>850000</v>
      </c>
    </row>
    <row r="91" spans="1:4">
      <c r="A91" s="113"/>
      <c r="B91" s="465"/>
      <c r="C91" s="527"/>
      <c r="D91" s="465">
        <f t="shared" si="1"/>
        <v>0</v>
      </c>
    </row>
    <row r="92" spans="1:4">
      <c r="A92" s="357" t="s">
        <v>149</v>
      </c>
      <c r="B92" s="468">
        <f>B94+B93</f>
        <v>476416</v>
      </c>
      <c r="C92" s="527"/>
      <c r="D92" s="468">
        <f t="shared" si="1"/>
        <v>476416</v>
      </c>
    </row>
    <row r="93" spans="1:4" ht="24">
      <c r="A93" s="359" t="s">
        <v>830</v>
      </c>
      <c r="B93" s="458">
        <f>128516+255000</f>
        <v>383516</v>
      </c>
      <c r="C93" s="527"/>
      <c r="D93" s="458">
        <f t="shared" si="1"/>
        <v>383516</v>
      </c>
    </row>
    <row r="94" spans="1:4">
      <c r="A94" s="435" t="s">
        <v>796</v>
      </c>
      <c r="B94" s="470">
        <v>92900</v>
      </c>
      <c r="C94" s="527"/>
      <c r="D94" s="470">
        <f t="shared" si="1"/>
        <v>92900</v>
      </c>
    </row>
    <row r="95" spans="1:4">
      <c r="A95" s="81"/>
      <c r="B95" s="462"/>
      <c r="C95" s="527"/>
      <c r="D95" s="462">
        <f t="shared" si="1"/>
        <v>0</v>
      </c>
    </row>
    <row r="96" spans="1:4">
      <c r="A96" s="113" t="s">
        <v>112</v>
      </c>
      <c r="B96" s="465">
        <f>SUM(B97,B98)</f>
        <v>1312141</v>
      </c>
      <c r="C96" s="529">
        <f>SUM(C97,C98)</f>
        <v>436337</v>
      </c>
      <c r="D96" s="465">
        <f t="shared" si="1"/>
        <v>1748478</v>
      </c>
    </row>
    <row r="97" spans="1:4">
      <c r="A97" s="81" t="s">
        <v>654</v>
      </c>
      <c r="B97" s="462">
        <v>952141</v>
      </c>
      <c r="C97" s="82"/>
      <c r="D97" s="462">
        <f t="shared" si="1"/>
        <v>952141</v>
      </c>
    </row>
    <row r="98" spans="1:4">
      <c r="A98" s="81" t="s">
        <v>781</v>
      </c>
      <c r="B98" s="462">
        <v>360000</v>
      </c>
      <c r="C98" s="82">
        <v>436337</v>
      </c>
      <c r="D98" s="462">
        <f t="shared" si="1"/>
        <v>796337</v>
      </c>
    </row>
    <row r="99" spans="1:4">
      <c r="A99" s="81"/>
      <c r="B99" s="462"/>
      <c r="C99" s="82"/>
      <c r="D99" s="462">
        <f t="shared" si="1"/>
        <v>0</v>
      </c>
    </row>
    <row r="100" spans="1:4">
      <c r="A100" s="426" t="s">
        <v>348</v>
      </c>
      <c r="B100" s="471">
        <f>B101+B106+B112+B115+B117</f>
        <v>23456901</v>
      </c>
      <c r="C100" s="471">
        <f>C101+C106+C112+C114+C116</f>
        <v>3282</v>
      </c>
      <c r="D100" s="471">
        <f t="shared" si="1"/>
        <v>23460183</v>
      </c>
    </row>
    <row r="101" spans="1:4" ht="24">
      <c r="A101" s="81" t="s">
        <v>655</v>
      </c>
      <c r="B101" s="462">
        <f>SUM(B102:B105)</f>
        <v>22138598</v>
      </c>
      <c r="C101" s="82"/>
      <c r="D101" s="462">
        <f t="shared" si="1"/>
        <v>22138598</v>
      </c>
    </row>
    <row r="102" spans="1:4">
      <c r="A102" s="134" t="s">
        <v>656</v>
      </c>
      <c r="B102" s="472">
        <v>8158025</v>
      </c>
      <c r="C102" s="526"/>
      <c r="D102" s="472">
        <f t="shared" si="1"/>
        <v>8158025</v>
      </c>
    </row>
    <row r="103" spans="1:4">
      <c r="A103" s="135" t="s">
        <v>643</v>
      </c>
      <c r="B103" s="472">
        <v>11699364</v>
      </c>
      <c r="C103" s="526"/>
      <c r="D103" s="472">
        <f t="shared" si="1"/>
        <v>11699364</v>
      </c>
    </row>
    <row r="104" spans="1:4">
      <c r="A104" s="135" t="s">
        <v>657</v>
      </c>
      <c r="B104" s="472">
        <v>1435459</v>
      </c>
      <c r="C104" s="526"/>
      <c r="D104" s="472">
        <f t="shared" si="1"/>
        <v>1435459</v>
      </c>
    </row>
    <row r="105" spans="1:4" ht="22.5">
      <c r="A105" s="135" t="s">
        <v>658</v>
      </c>
      <c r="B105" s="472">
        <v>845750</v>
      </c>
      <c r="C105" s="526"/>
      <c r="D105" s="472">
        <f t="shared" si="1"/>
        <v>845750</v>
      </c>
    </row>
    <row r="106" spans="1:4">
      <c r="A106" s="81" t="s">
        <v>659</v>
      </c>
      <c r="B106" s="462">
        <f>SUM(B107:B111)</f>
        <v>1006303</v>
      </c>
      <c r="C106" s="82"/>
      <c r="D106" s="462">
        <f t="shared" si="1"/>
        <v>1006303</v>
      </c>
    </row>
    <row r="107" spans="1:4">
      <c r="A107" s="134" t="s">
        <v>660</v>
      </c>
      <c r="B107" s="472">
        <v>428740</v>
      </c>
      <c r="C107" s="526"/>
      <c r="D107" s="472">
        <f t="shared" si="1"/>
        <v>428740</v>
      </c>
    </row>
    <row r="108" spans="1:4" ht="22.5">
      <c r="A108" s="135" t="s">
        <v>661</v>
      </c>
      <c r="B108" s="472">
        <v>123911</v>
      </c>
      <c r="C108" s="526"/>
      <c r="D108" s="472">
        <f t="shared" si="1"/>
        <v>123911</v>
      </c>
    </row>
    <row r="109" spans="1:4" ht="22.5">
      <c r="A109" s="135" t="s">
        <v>833</v>
      </c>
      <c r="B109" s="472">
        <v>127500</v>
      </c>
      <c r="C109" s="526"/>
      <c r="D109" s="472">
        <f t="shared" si="1"/>
        <v>127500</v>
      </c>
    </row>
    <row r="110" spans="1:4" ht="22.5">
      <c r="A110" s="135" t="s">
        <v>662</v>
      </c>
      <c r="B110" s="472">
        <v>244297</v>
      </c>
      <c r="C110" s="526"/>
      <c r="D110" s="472">
        <f t="shared" si="1"/>
        <v>244297</v>
      </c>
    </row>
    <row r="111" spans="1:4">
      <c r="A111" s="558" t="s">
        <v>663</v>
      </c>
      <c r="B111" s="559">
        <v>81855</v>
      </c>
      <c r="C111" s="560"/>
      <c r="D111" s="559">
        <f t="shared" si="1"/>
        <v>81855</v>
      </c>
    </row>
    <row r="112" spans="1:4" ht="24">
      <c r="A112" s="81" t="s">
        <v>903</v>
      </c>
      <c r="B112" s="462"/>
      <c r="C112" s="82">
        <v>3282</v>
      </c>
      <c r="D112" s="462">
        <f t="shared" si="1"/>
        <v>3282</v>
      </c>
    </row>
    <row r="113" spans="1:4" ht="24">
      <c r="A113" s="81" t="s">
        <v>932</v>
      </c>
      <c r="B113" s="462"/>
      <c r="C113" s="462">
        <v>3282</v>
      </c>
      <c r="D113" s="462">
        <f t="shared" si="1"/>
        <v>3282</v>
      </c>
    </row>
    <row r="114" spans="1:4">
      <c r="A114" s="81"/>
      <c r="B114" s="462"/>
      <c r="C114" s="112"/>
      <c r="D114" s="462">
        <f t="shared" si="1"/>
        <v>0</v>
      </c>
    </row>
    <row r="115" spans="1:4" ht="24">
      <c r="A115" s="81" t="s">
        <v>675</v>
      </c>
      <c r="B115" s="462">
        <v>187000</v>
      </c>
      <c r="C115" s="526"/>
      <c r="D115" s="462">
        <f t="shared" si="1"/>
        <v>187000</v>
      </c>
    </row>
    <row r="116" spans="1:4">
      <c r="A116" s="81"/>
      <c r="B116" s="462"/>
      <c r="C116" s="112"/>
      <c r="D116" s="462">
        <f t="shared" si="1"/>
        <v>0</v>
      </c>
    </row>
    <row r="117" spans="1:4" ht="24">
      <c r="A117" s="81" t="s">
        <v>893</v>
      </c>
      <c r="B117" s="462">
        <v>125000</v>
      </c>
      <c r="C117" s="526"/>
      <c r="D117" s="462">
        <f t="shared" si="1"/>
        <v>125000</v>
      </c>
    </row>
    <row r="118" spans="1:4">
      <c r="A118" s="81"/>
      <c r="B118" s="462"/>
      <c r="C118" s="82"/>
      <c r="D118" s="462">
        <f t="shared" si="1"/>
        <v>0</v>
      </c>
    </row>
    <row r="119" spans="1:4">
      <c r="A119" s="113" t="s">
        <v>352</v>
      </c>
      <c r="B119" s="465">
        <f>SUM(B120:B121)</f>
        <v>17850</v>
      </c>
      <c r="C119" s="529">
        <f>SUM(C120:C121)</f>
        <v>21100</v>
      </c>
      <c r="D119" s="465">
        <f t="shared" si="1"/>
        <v>38950</v>
      </c>
    </row>
    <row r="120" spans="1:4" ht="24">
      <c r="A120" s="101" t="s">
        <v>651</v>
      </c>
      <c r="B120" s="461">
        <v>17850</v>
      </c>
      <c r="C120" s="504"/>
      <c r="D120" s="461">
        <f t="shared" si="1"/>
        <v>17850</v>
      </c>
    </row>
    <row r="121" spans="1:4">
      <c r="A121" s="101" t="s">
        <v>904</v>
      </c>
      <c r="B121" s="461"/>
      <c r="C121" s="504">
        <v>21100</v>
      </c>
      <c r="D121" s="461">
        <f t="shared" si="1"/>
        <v>21100</v>
      </c>
    </row>
  </sheetData>
  <autoFilter ref="A4:D121"/>
  <mergeCells count="1">
    <mergeCell ref="B3:D3"/>
  </mergeCells>
  <phoneticPr fontId="36" type="noConversion"/>
  <pageMargins left="1.1811023622047245" right="0.47244094488188981" top="0.47244094488188981" bottom="0.98425196850393704" header="0.51181102362204722" footer="0.51181102362204722"/>
  <pageSetup paperSize="9" scale="75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</sheetPr>
  <dimension ref="A1:Z1931"/>
  <sheetViews>
    <sheetView showZeros="0" zoomScaleNormal="100" zoomScaleSheetLayoutView="85" workbookViewId="0">
      <pane xSplit="3" ySplit="4" topLeftCell="D5" activePane="bottomRight" state="frozen"/>
      <selection activeCell="F10" sqref="F10"/>
      <selection pane="topRight" activeCell="F10" sqref="F10"/>
      <selection pane="bottomLeft" activeCell="F10" sqref="F10"/>
      <selection pane="bottomRight" activeCell="G4" sqref="G4"/>
    </sheetView>
  </sheetViews>
  <sheetFormatPr defaultColWidth="9.140625" defaultRowHeight="12.75"/>
  <cols>
    <col min="1" max="1" width="4.85546875" style="48" hidden="1" customWidth="1"/>
    <col min="2" max="2" width="4.7109375" style="5" hidden="1" customWidth="1"/>
    <col min="3" max="3" width="53.140625" style="48" customWidth="1"/>
    <col min="4" max="4" width="13.85546875" style="453" customWidth="1"/>
    <col min="5" max="5" width="12" style="453" hidden="1" customWidth="1"/>
    <col min="6" max="6" width="15.28515625" style="5" hidden="1" customWidth="1"/>
    <col min="7" max="7" width="13.85546875" style="453" customWidth="1"/>
    <col min="8" max="8" width="11.140625" style="5" bestFit="1" customWidth="1"/>
    <col min="9" max="16384" width="9.140625" style="5"/>
  </cols>
  <sheetData>
    <row r="1" spans="1:26" ht="15">
      <c r="A1" s="58"/>
      <c r="C1" s="58" t="s">
        <v>117</v>
      </c>
    </row>
    <row r="2" spans="1:26">
      <c r="D2" s="394"/>
      <c r="E2" s="394"/>
      <c r="G2" s="394"/>
    </row>
    <row r="3" spans="1:26">
      <c r="A3" s="3"/>
      <c r="C3" s="3"/>
      <c r="D3" s="600">
        <v>2018</v>
      </c>
      <c r="E3" s="600"/>
      <c r="F3" s="600"/>
      <c r="G3" s="600"/>
    </row>
    <row r="4" spans="1:26" ht="37.5" customHeight="1">
      <c r="A4" s="485"/>
      <c r="C4" s="150"/>
      <c r="D4" s="591" t="s">
        <v>835</v>
      </c>
      <c r="E4" s="639" t="s">
        <v>887</v>
      </c>
      <c r="F4" s="640" t="s">
        <v>962</v>
      </c>
      <c r="G4" s="591" t="s">
        <v>836</v>
      </c>
    </row>
    <row r="5" spans="1:26" ht="15.75">
      <c r="A5" s="235"/>
      <c r="C5" s="235" t="s">
        <v>47</v>
      </c>
      <c r="D5" s="276"/>
      <c r="E5" s="276"/>
      <c r="G5" s="276"/>
    </row>
    <row r="6" spans="1:26">
      <c r="A6" s="236"/>
      <c r="C6" s="236"/>
      <c r="D6" s="277"/>
      <c r="E6" s="277"/>
      <c r="G6" s="277"/>
    </row>
    <row r="7" spans="1:26">
      <c r="A7" s="236"/>
      <c r="C7" s="236" t="s">
        <v>240</v>
      </c>
      <c r="D7" s="277">
        <f>D14+D18+D21+D24</f>
        <v>2280974</v>
      </c>
      <c r="E7" s="277">
        <f>E14+E18+E21+E24</f>
        <v>45226</v>
      </c>
      <c r="F7" s="277">
        <f>F14+F18+F21+F24</f>
        <v>131523</v>
      </c>
      <c r="G7" s="277">
        <f>SUM(D7:F7)</f>
        <v>2457723</v>
      </c>
    </row>
    <row r="8" spans="1:26">
      <c r="A8" s="187"/>
      <c r="C8" s="187" t="s">
        <v>825</v>
      </c>
      <c r="D8" s="278">
        <v>85075</v>
      </c>
      <c r="E8" s="278"/>
      <c r="F8" s="278"/>
      <c r="G8" s="278">
        <f>SUM(D8:F8)</f>
        <v>85075</v>
      </c>
    </row>
    <row r="9" spans="1:26">
      <c r="A9" s="188"/>
      <c r="C9" s="188" t="s">
        <v>118</v>
      </c>
      <c r="D9" s="279">
        <f>D10+D11</f>
        <v>2280974</v>
      </c>
      <c r="E9" s="279">
        <f>E10+E11</f>
        <v>45226</v>
      </c>
      <c r="F9" s="279">
        <f>F10+F11</f>
        <v>131523</v>
      </c>
      <c r="G9" s="279">
        <f>SUM(D9:F9)</f>
        <v>2457723</v>
      </c>
    </row>
    <row r="10" spans="1:26">
      <c r="A10" s="187"/>
      <c r="C10" s="187" t="s">
        <v>119</v>
      </c>
      <c r="D10" s="278">
        <f>'[3]2.2 OMATULUD'!B5</f>
        <v>27484</v>
      </c>
      <c r="E10" s="278"/>
      <c r="F10" s="278">
        <v>-6830</v>
      </c>
      <c r="G10" s="278">
        <f>SUM(D10:F10)</f>
        <v>20654</v>
      </c>
    </row>
    <row r="11" spans="1:26">
      <c r="A11" s="237"/>
      <c r="C11" s="237" t="s">
        <v>120</v>
      </c>
      <c r="D11" s="278">
        <f>D7-D10</f>
        <v>2253490</v>
      </c>
      <c r="E11" s="278">
        <f>E7-E10</f>
        <v>45226</v>
      </c>
      <c r="F11" s="278">
        <f>F7-F10</f>
        <v>138353</v>
      </c>
      <c r="G11" s="278">
        <f>SUM(D11:F11)</f>
        <v>2437069</v>
      </c>
    </row>
    <row r="12" spans="1:26" s="493" customFormat="1">
      <c r="C12" s="603" t="s">
        <v>884</v>
      </c>
      <c r="D12" s="494">
        <f>D19+D15+D22+D25</f>
        <v>1469811</v>
      </c>
      <c r="E12" s="494">
        <f t="shared" ref="E12:F12" si="0">E19+E15+E22+E25</f>
        <v>33801</v>
      </c>
      <c r="F12" s="494">
        <f t="shared" si="0"/>
        <v>-5421</v>
      </c>
      <c r="G12" s="494">
        <f>SUM(D12:F12)</f>
        <v>1498191</v>
      </c>
      <c r="H12" s="495"/>
      <c r="I12" s="495"/>
      <c r="J12" s="495"/>
      <c r="K12" s="495"/>
      <c r="L12" s="495"/>
      <c r="M12" s="604"/>
      <c r="O12" s="495"/>
      <c r="P12" s="495"/>
      <c r="Q12" s="495"/>
      <c r="R12" s="604"/>
      <c r="T12" s="495"/>
      <c r="U12" s="495"/>
      <c r="V12" s="495"/>
      <c r="W12" s="604"/>
      <c r="Z12" s="103"/>
    </row>
    <row r="13" spans="1:26">
      <c r="A13" s="237"/>
      <c r="C13" s="237"/>
      <c r="D13" s="278"/>
      <c r="E13" s="278"/>
      <c r="G13" s="278">
        <f>SUM(D13:F13)</f>
        <v>0</v>
      </c>
    </row>
    <row r="14" spans="1:26">
      <c r="A14" s="486" t="s">
        <v>678</v>
      </c>
      <c r="B14" s="5" t="s">
        <v>869</v>
      </c>
      <c r="C14" s="436" t="s">
        <v>47</v>
      </c>
      <c r="D14" s="280">
        <v>1380144</v>
      </c>
      <c r="E14" s="280">
        <v>45226</v>
      </c>
      <c r="F14" s="605">
        <f>-2830-5647+144000</f>
        <v>135523</v>
      </c>
      <c r="G14" s="280">
        <f>SUM(D14:F14)</f>
        <v>1560893</v>
      </c>
    </row>
    <row r="15" spans="1:26">
      <c r="A15" s="486"/>
      <c r="C15" s="437" t="s">
        <v>121</v>
      </c>
      <c r="D15" s="281">
        <v>831087</v>
      </c>
      <c r="E15" s="281">
        <v>33801</v>
      </c>
      <c r="F15" s="542">
        <v>-4221</v>
      </c>
      <c r="G15" s="281">
        <f>SUM(D15:F15)</f>
        <v>860667</v>
      </c>
    </row>
    <row r="16" spans="1:26">
      <c r="A16" s="486"/>
      <c r="C16" s="172" t="s">
        <v>963</v>
      </c>
      <c r="D16" s="281"/>
      <c r="E16" s="281"/>
      <c r="F16" s="544">
        <v>144000</v>
      </c>
      <c r="G16" s="281">
        <f>SUM(D16:F16)</f>
        <v>144000</v>
      </c>
    </row>
    <row r="17" spans="1:7">
      <c r="A17" s="486"/>
      <c r="C17" s="438"/>
      <c r="D17" s="280"/>
      <c r="E17" s="280"/>
      <c r="G17" s="280">
        <f>SUM(D17:F17)</f>
        <v>0</v>
      </c>
    </row>
    <row r="18" spans="1:7">
      <c r="A18" s="486" t="s">
        <v>837</v>
      </c>
      <c r="B18" s="5" t="s">
        <v>869</v>
      </c>
      <c r="C18" s="436" t="s">
        <v>679</v>
      </c>
      <c r="D18" s="280">
        <v>856830</v>
      </c>
      <c r="E18" s="280"/>
      <c r="G18" s="280">
        <f>SUM(D18:F18)</f>
        <v>856830</v>
      </c>
    </row>
    <row r="19" spans="1:7">
      <c r="A19" s="486"/>
      <c r="C19" s="437" t="s">
        <v>121</v>
      </c>
      <c r="D19" s="281">
        <v>627524</v>
      </c>
      <c r="E19" s="281"/>
      <c r="G19" s="281">
        <f>SUM(D19:F19)</f>
        <v>627524</v>
      </c>
    </row>
    <row r="20" spans="1:7">
      <c r="A20" s="486"/>
      <c r="C20" s="111"/>
      <c r="D20" s="280"/>
      <c r="E20" s="280"/>
      <c r="G20" s="280">
        <f>SUM(D20:F20)</f>
        <v>0</v>
      </c>
    </row>
    <row r="21" spans="1:7">
      <c r="A21" s="486" t="s">
        <v>678</v>
      </c>
      <c r="B21" s="5" t="s">
        <v>869</v>
      </c>
      <c r="C21" s="439" t="s">
        <v>680</v>
      </c>
      <c r="D21" s="280">
        <v>40000</v>
      </c>
      <c r="E21" s="280"/>
      <c r="G21" s="280">
        <f>SUM(D21:F21)</f>
        <v>40000</v>
      </c>
    </row>
    <row r="22" spans="1:7">
      <c r="A22" s="486"/>
      <c r="C22" s="437" t="s">
        <v>121</v>
      </c>
      <c r="D22" s="281">
        <v>10000</v>
      </c>
      <c r="E22" s="281"/>
      <c r="G22" s="281">
        <f>SUM(D22:F22)</f>
        <v>10000</v>
      </c>
    </row>
    <row r="23" spans="1:7">
      <c r="A23" s="486"/>
      <c r="C23" s="437"/>
      <c r="D23" s="280"/>
      <c r="E23" s="280"/>
      <c r="G23" s="280">
        <f>SUM(D23:F23)</f>
        <v>0</v>
      </c>
    </row>
    <row r="24" spans="1:7">
      <c r="A24" s="486" t="s">
        <v>671</v>
      </c>
      <c r="B24" s="5" t="s">
        <v>869</v>
      </c>
      <c r="C24" s="439" t="s">
        <v>681</v>
      </c>
      <c r="D24" s="280">
        <v>4000</v>
      </c>
      <c r="E24" s="280"/>
      <c r="F24" s="582">
        <v>-4000</v>
      </c>
      <c r="G24" s="280">
        <f>SUM(D24:F24)</f>
        <v>0</v>
      </c>
    </row>
    <row r="25" spans="1:7">
      <c r="A25" s="486"/>
      <c r="C25" s="437" t="s">
        <v>121</v>
      </c>
      <c r="D25" s="281">
        <v>1200</v>
      </c>
      <c r="E25" s="281"/>
      <c r="F25" s="542">
        <v>-1200</v>
      </c>
      <c r="G25" s="281">
        <f>SUM(D25:F25)</f>
        <v>0</v>
      </c>
    </row>
    <row r="26" spans="1:7">
      <c r="A26" s="486"/>
      <c r="C26" s="3"/>
      <c r="D26" s="260"/>
      <c r="E26" s="260"/>
      <c r="G26" s="260">
        <f>SUM(D26:F26)</f>
        <v>0</v>
      </c>
    </row>
    <row r="27" spans="1:7" ht="15.75">
      <c r="A27" s="486"/>
      <c r="C27" s="238" t="s">
        <v>241</v>
      </c>
      <c r="D27" s="284"/>
      <c r="E27" s="284"/>
      <c r="G27" s="284">
        <f>SUM(D27:F27)</f>
        <v>0</v>
      </c>
    </row>
    <row r="28" spans="1:7">
      <c r="A28" s="486"/>
      <c r="C28" s="111"/>
      <c r="D28" s="210"/>
      <c r="E28" s="210"/>
      <c r="F28" s="210"/>
      <c r="G28" s="210">
        <f>SUM(D28:F28)</f>
        <v>0</v>
      </c>
    </row>
    <row r="29" spans="1:7">
      <c r="A29" s="486"/>
      <c r="C29" s="236" t="s">
        <v>240</v>
      </c>
      <c r="D29" s="277">
        <f>D36+D40+D43+D45+D47+D49+D51+D54+D57+D59+D61+D67+D70+D76+D79+D81+D83+D86+D89+D91+D101+D104</f>
        <v>29522008</v>
      </c>
      <c r="E29" s="277">
        <f>E36+E40+E43+E45+E47+E49+E51+E54+E57+E59+E61+E67+E70+E76+E79+E81+E83+E86+E89+E91+E101</f>
        <v>463906</v>
      </c>
      <c r="F29" s="277">
        <f>F36+F40+F43+F45+F47+F49+F51+F54+F57+F59+F61+F67+F70+F76+F79+F81+F83+F86+F89+F91+F101+F104+F64</f>
        <v>-6411</v>
      </c>
      <c r="G29" s="277">
        <f>SUM(D29:F29)</f>
        <v>29979503</v>
      </c>
    </row>
    <row r="30" spans="1:7">
      <c r="A30" s="486"/>
      <c r="C30" s="187" t="s">
        <v>825</v>
      </c>
      <c r="D30" s="278">
        <v>920000</v>
      </c>
      <c r="E30" s="278"/>
      <c r="F30" s="278"/>
      <c r="G30" s="278">
        <f>SUM(D30:F30)</f>
        <v>920000</v>
      </c>
    </row>
    <row r="31" spans="1:7">
      <c r="A31" s="486"/>
      <c r="C31" s="188" t="s">
        <v>118</v>
      </c>
      <c r="D31" s="279">
        <f>D32+D33</f>
        <v>29522008</v>
      </c>
      <c r="E31" s="279">
        <f>E32+E33</f>
        <v>463906</v>
      </c>
      <c r="F31" s="279">
        <f>F32+F33</f>
        <v>-6411</v>
      </c>
      <c r="G31" s="279">
        <f>SUM(D31:F31)</f>
        <v>29979503</v>
      </c>
    </row>
    <row r="32" spans="1:7">
      <c r="A32" s="486"/>
      <c r="C32" s="187" t="s">
        <v>119</v>
      </c>
      <c r="D32" s="278">
        <f>'[3]2.2 OMATULUD'!B10</f>
        <v>662410</v>
      </c>
      <c r="E32" s="278"/>
      <c r="F32" s="278"/>
      <c r="G32" s="278">
        <f>SUM(D32:F32)</f>
        <v>662410</v>
      </c>
    </row>
    <row r="33" spans="1:26">
      <c r="A33" s="486"/>
      <c r="C33" s="237" t="s">
        <v>120</v>
      </c>
      <c r="D33" s="278">
        <f>D29-D32</f>
        <v>28859598</v>
      </c>
      <c r="E33" s="278">
        <f>E29-E32</f>
        <v>463906</v>
      </c>
      <c r="F33" s="278">
        <f>F29-F32</f>
        <v>-6411</v>
      </c>
      <c r="G33" s="278">
        <f>SUM(D33:F33)</f>
        <v>29317093</v>
      </c>
    </row>
    <row r="34" spans="1:26" s="493" customFormat="1">
      <c r="C34" s="603" t="s">
        <v>884</v>
      </c>
      <c r="D34" s="494">
        <f>D41+D52+D55+D68+D71+D77+D84+D87+D102</f>
        <v>8498165</v>
      </c>
      <c r="E34" s="494">
        <f>E41+E52+E55+E68+E71+E77+E84+E87+E102+E46</f>
        <v>346716</v>
      </c>
      <c r="F34" s="494">
        <f>F41+F52+F55+F68+F71+F77+F84+F87+F102+F65+F62</f>
        <v>81377</v>
      </c>
      <c r="G34" s="494">
        <f>SUM(D34:F34)</f>
        <v>8926258</v>
      </c>
      <c r="H34" s="495"/>
      <c r="I34" s="495"/>
      <c r="J34" s="495"/>
      <c r="K34" s="495"/>
      <c r="L34" s="495"/>
      <c r="M34" s="604"/>
      <c r="O34" s="495"/>
      <c r="P34" s="495"/>
      <c r="Q34" s="495"/>
      <c r="R34" s="604"/>
      <c r="T34" s="495"/>
      <c r="U34" s="495"/>
      <c r="V34" s="495"/>
      <c r="W34" s="604"/>
      <c r="Z34" s="103"/>
    </row>
    <row r="35" spans="1:26">
      <c r="A35" s="486"/>
      <c r="C35" s="111"/>
      <c r="D35" s="210"/>
      <c r="E35" s="210"/>
      <c r="G35" s="210">
        <f>SUM(D35:F35)</f>
        <v>0</v>
      </c>
    </row>
    <row r="36" spans="1:26">
      <c r="A36" s="491"/>
      <c r="B36" s="492"/>
      <c r="C36" s="233" t="s">
        <v>682</v>
      </c>
      <c r="D36" s="210">
        <v>8711900</v>
      </c>
      <c r="E36" s="210"/>
      <c r="F36" s="103">
        <f>F37+F38</f>
        <v>-243000</v>
      </c>
      <c r="G36" s="210">
        <f>SUM(D36:F36)</f>
        <v>8468900</v>
      </c>
    </row>
    <row r="37" spans="1:26">
      <c r="A37" s="5" t="s">
        <v>678</v>
      </c>
      <c r="B37" s="5" t="s">
        <v>241</v>
      </c>
      <c r="C37" s="440" t="s">
        <v>883</v>
      </c>
      <c r="D37" s="210">
        <v>5791300</v>
      </c>
      <c r="E37" s="210"/>
      <c r="G37" s="210">
        <f>SUM(D37:F37)</f>
        <v>5791300</v>
      </c>
    </row>
    <row r="38" spans="1:26">
      <c r="A38" s="5" t="s">
        <v>670</v>
      </c>
      <c r="B38" s="5" t="s">
        <v>241</v>
      </c>
      <c r="C38" s="440" t="s">
        <v>966</v>
      </c>
      <c r="D38" s="210">
        <v>2920600</v>
      </c>
      <c r="E38" s="210"/>
      <c r="F38" s="606">
        <v>-243000</v>
      </c>
      <c r="G38" s="210">
        <f>SUM(D38:F38)</f>
        <v>2677600</v>
      </c>
    </row>
    <row r="39" spans="1:26">
      <c r="A39" s="486"/>
      <c r="C39" s="440"/>
      <c r="D39" s="210"/>
      <c r="E39" s="210"/>
      <c r="F39" s="606"/>
      <c r="G39" s="210">
        <f>SUM(D39:F39)</f>
        <v>0</v>
      </c>
    </row>
    <row r="40" spans="1:26">
      <c r="A40" s="486" t="s">
        <v>678</v>
      </c>
      <c r="B40" s="5" t="s">
        <v>241</v>
      </c>
      <c r="C40" s="233" t="s">
        <v>683</v>
      </c>
      <c r="D40" s="210">
        <v>2332000</v>
      </c>
      <c r="E40" s="210"/>
      <c r="F40" s="606">
        <v>0</v>
      </c>
      <c r="G40" s="210">
        <f>SUM(D40:F40)</f>
        <v>2332000</v>
      </c>
    </row>
    <row r="41" spans="1:26">
      <c r="A41" s="486"/>
      <c r="C41" s="171" t="s">
        <v>121</v>
      </c>
      <c r="D41" s="441">
        <v>22420</v>
      </c>
      <c r="E41" s="441"/>
      <c r="F41" s="542">
        <v>22580</v>
      </c>
      <c r="G41" s="441">
        <f>SUM(D41:F41)</f>
        <v>45000</v>
      </c>
    </row>
    <row r="42" spans="1:26">
      <c r="A42" s="486"/>
      <c r="C42" s="111"/>
      <c r="D42" s="210"/>
      <c r="E42" s="210"/>
      <c r="F42" s="606"/>
      <c r="G42" s="210">
        <f>SUM(D42:F42)</f>
        <v>0</v>
      </c>
    </row>
    <row r="43" spans="1:26">
      <c r="A43" s="486" t="s">
        <v>678</v>
      </c>
      <c r="B43" s="5" t="s">
        <v>241</v>
      </c>
      <c r="C43" s="233" t="s">
        <v>684</v>
      </c>
      <c r="D43" s="210">
        <v>240000</v>
      </c>
      <c r="E43" s="210"/>
      <c r="F43" s="606"/>
      <c r="G43" s="210">
        <f>SUM(D43:F43)</f>
        <v>240000</v>
      </c>
    </row>
    <row r="44" spans="1:26">
      <c r="A44" s="486"/>
      <c r="C44" s="111"/>
      <c r="D44" s="210"/>
      <c r="E44" s="210"/>
      <c r="F44" s="542"/>
      <c r="G44" s="210">
        <f>SUM(D44:F44)</f>
        <v>0</v>
      </c>
    </row>
    <row r="45" spans="1:26">
      <c r="A45" s="486" t="s">
        <v>678</v>
      </c>
      <c r="B45" s="5" t="s">
        <v>241</v>
      </c>
      <c r="C45" s="233" t="s">
        <v>685</v>
      </c>
      <c r="D45" s="210">
        <f>254313+405</f>
        <v>254718</v>
      </c>
      <c r="E45" s="210">
        <v>15000</v>
      </c>
      <c r="F45" s="606">
        <f>203+31000</f>
        <v>31203</v>
      </c>
      <c r="G45" s="210">
        <f>SUM(D45:F45)</f>
        <v>300921</v>
      </c>
    </row>
    <row r="46" spans="1:26">
      <c r="A46" s="486"/>
      <c r="C46" s="171" t="s">
        <v>121</v>
      </c>
      <c r="D46" s="210"/>
      <c r="E46" s="210">
        <v>11211</v>
      </c>
      <c r="F46" s="542"/>
      <c r="G46" s="210">
        <f>SUM(D46:F46)</f>
        <v>11211</v>
      </c>
    </row>
    <row r="47" spans="1:26">
      <c r="A47" s="486" t="s">
        <v>678</v>
      </c>
      <c r="B47" s="5" t="s">
        <v>241</v>
      </c>
      <c r="C47" s="233" t="s">
        <v>686</v>
      </c>
      <c r="D47" s="210">
        <f>2460000+21600</f>
        <v>2481600</v>
      </c>
      <c r="E47" s="210"/>
      <c r="F47" s="606">
        <v>98000</v>
      </c>
      <c r="G47" s="210">
        <f>SUM(D47:F47)</f>
        <v>2579600</v>
      </c>
    </row>
    <row r="48" spans="1:26">
      <c r="A48" s="486"/>
      <c r="C48" s="638" t="s">
        <v>967</v>
      </c>
      <c r="D48" s="210"/>
      <c r="E48" s="607"/>
      <c r="F48" s="608">
        <v>50000</v>
      </c>
      <c r="G48" s="210">
        <f>SUM(D48:F48)</f>
        <v>50000</v>
      </c>
    </row>
    <row r="49" spans="1:7">
      <c r="A49" s="486" t="s">
        <v>678</v>
      </c>
      <c r="B49" s="5" t="s">
        <v>241</v>
      </c>
      <c r="C49" s="233" t="s">
        <v>687</v>
      </c>
      <c r="D49" s="210">
        <v>2282400</v>
      </c>
      <c r="E49" s="210"/>
      <c r="G49" s="210">
        <f>SUM(D49:F49)</f>
        <v>2282400</v>
      </c>
    </row>
    <row r="50" spans="1:7">
      <c r="A50" s="486"/>
      <c r="C50" s="111"/>
      <c r="D50" s="210"/>
      <c r="E50" s="210"/>
      <c r="G50" s="210">
        <f>SUM(D50:F50)</f>
        <v>0</v>
      </c>
    </row>
    <row r="51" spans="1:7">
      <c r="A51" s="486" t="s">
        <v>837</v>
      </c>
      <c r="B51" s="5" t="s">
        <v>241</v>
      </c>
      <c r="C51" s="193" t="s">
        <v>688</v>
      </c>
      <c r="D51" s="210">
        <f>1654506+544</f>
        <v>1655050</v>
      </c>
      <c r="E51" s="210">
        <v>40144</v>
      </c>
      <c r="G51" s="210">
        <f>SUM(D51:F51)</f>
        <v>1695194</v>
      </c>
    </row>
    <row r="52" spans="1:7">
      <c r="A52" s="486"/>
      <c r="C52" s="171" t="s">
        <v>121</v>
      </c>
      <c r="D52" s="441">
        <f>1224981+406</f>
        <v>1225387</v>
      </c>
      <c r="E52" s="441">
        <v>30003</v>
      </c>
      <c r="G52" s="441">
        <f>SUM(D52:F52)</f>
        <v>1255390</v>
      </c>
    </row>
    <row r="53" spans="1:7">
      <c r="A53" s="486"/>
      <c r="C53" s="111"/>
      <c r="D53" s="210"/>
      <c r="E53" s="210"/>
      <c r="G53" s="210">
        <f>SUM(D53:F53)</f>
        <v>0</v>
      </c>
    </row>
    <row r="54" spans="1:7" ht="25.5">
      <c r="A54" s="486" t="s">
        <v>678</v>
      </c>
      <c r="B54" s="5" t="s">
        <v>241</v>
      </c>
      <c r="C54" s="239" t="s">
        <v>689</v>
      </c>
      <c r="D54" s="210">
        <f>9550135+36808</f>
        <v>9586943</v>
      </c>
      <c r="E54" s="210">
        <v>408762</v>
      </c>
      <c r="F54" s="546">
        <f>30570-26499+3000</f>
        <v>7071</v>
      </c>
      <c r="G54" s="210">
        <f>SUM(D54:F54)</f>
        <v>10002776</v>
      </c>
    </row>
    <row r="55" spans="1:7">
      <c r="A55" s="486"/>
      <c r="C55" s="171" t="s">
        <v>121</v>
      </c>
      <c r="D55" s="441">
        <f>7111418+26200+27510</f>
        <v>7165128</v>
      </c>
      <c r="E55" s="441">
        <v>305502</v>
      </c>
      <c r="F55" s="542">
        <f>22848-19805+2242</f>
        <v>5285</v>
      </c>
      <c r="G55" s="441">
        <f>SUM(D55:F55)</f>
        <v>7475915</v>
      </c>
    </row>
    <row r="56" spans="1:7">
      <c r="A56" s="486"/>
      <c r="C56" s="111"/>
      <c r="D56" s="210"/>
      <c r="E56" s="210"/>
      <c r="G56" s="210">
        <f>SUM(D56:F56)</f>
        <v>0</v>
      </c>
    </row>
    <row r="57" spans="1:7">
      <c r="A57" s="486" t="s">
        <v>678</v>
      </c>
      <c r="B57" s="5" t="s">
        <v>241</v>
      </c>
      <c r="C57" s="233" t="s">
        <v>690</v>
      </c>
      <c r="D57" s="210">
        <f>365227+10000</f>
        <v>375227</v>
      </c>
      <c r="E57" s="210"/>
      <c r="G57" s="210">
        <f>SUM(D57:F57)</f>
        <v>375227</v>
      </c>
    </row>
    <row r="58" spans="1:7">
      <c r="A58" s="486"/>
      <c r="C58" s="111"/>
      <c r="D58" s="210"/>
      <c r="E58" s="210"/>
      <c r="G58" s="210">
        <f>SUM(D58:F58)</f>
        <v>0</v>
      </c>
    </row>
    <row r="59" spans="1:7">
      <c r="A59" s="486" t="s">
        <v>678</v>
      </c>
      <c r="B59" s="5" t="s">
        <v>241</v>
      </c>
      <c r="C59" s="193" t="s">
        <v>691</v>
      </c>
      <c r="D59" s="210">
        <v>271400</v>
      </c>
      <c r="E59" s="210"/>
      <c r="G59" s="210">
        <f>SUM(D59:F59)</f>
        <v>271400</v>
      </c>
    </row>
    <row r="60" spans="1:7">
      <c r="A60" s="486"/>
      <c r="C60" s="111"/>
      <c r="D60" s="210"/>
      <c r="E60" s="210"/>
      <c r="G60" s="210">
        <f>SUM(D60:F60)</f>
        <v>0</v>
      </c>
    </row>
    <row r="61" spans="1:7">
      <c r="A61" s="486" t="s">
        <v>678</v>
      </c>
      <c r="B61" s="5" t="s">
        <v>241</v>
      </c>
      <c r="C61" s="233" t="s">
        <v>692</v>
      </c>
      <c r="D61" s="210">
        <v>326000</v>
      </c>
      <c r="E61" s="210"/>
      <c r="F61" s="606">
        <v>0</v>
      </c>
      <c r="G61" s="210">
        <f>SUM(D61:F61)</f>
        <v>326000</v>
      </c>
    </row>
    <row r="62" spans="1:7">
      <c r="A62" s="486"/>
      <c r="C62" s="171" t="s">
        <v>121</v>
      </c>
      <c r="D62" s="210"/>
      <c r="E62" s="210"/>
      <c r="F62" s="542">
        <v>11200</v>
      </c>
      <c r="G62" s="210">
        <f>SUM(D62:F62)</f>
        <v>11200</v>
      </c>
    </row>
    <row r="63" spans="1:7">
      <c r="A63" s="486"/>
      <c r="C63" s="111"/>
      <c r="D63" s="210"/>
      <c r="E63" s="210"/>
      <c r="F63" s="542"/>
      <c r="G63" s="210">
        <f>SUM(D63:F63)</f>
        <v>0</v>
      </c>
    </row>
    <row r="64" spans="1:7">
      <c r="A64" s="486" t="s">
        <v>678</v>
      </c>
      <c r="B64" s="5" t="s">
        <v>241</v>
      </c>
      <c r="C64" s="233" t="s">
        <v>968</v>
      </c>
      <c r="D64" s="210"/>
      <c r="E64" s="210"/>
      <c r="F64" s="605">
        <v>100000</v>
      </c>
      <c r="G64" s="210">
        <f>SUM(D64:F64)</f>
        <v>100000</v>
      </c>
    </row>
    <row r="65" spans="1:7">
      <c r="A65" s="486"/>
      <c r="C65" s="171" t="s">
        <v>121</v>
      </c>
      <c r="D65" s="210"/>
      <c r="E65" s="210"/>
      <c r="F65" s="542">
        <v>59000</v>
      </c>
      <c r="G65" s="210">
        <f>SUM(D65:F65)</f>
        <v>59000</v>
      </c>
    </row>
    <row r="66" spans="1:7">
      <c r="A66" s="486"/>
      <c r="C66" s="111"/>
      <c r="D66" s="210"/>
      <c r="E66" s="210"/>
      <c r="F66" s="542"/>
      <c r="G66" s="210">
        <f>SUM(D66:F66)</f>
        <v>0</v>
      </c>
    </row>
    <row r="67" spans="1:7">
      <c r="A67" s="486" t="s">
        <v>678</v>
      </c>
      <c r="B67" s="5" t="s">
        <v>241</v>
      </c>
      <c r="C67" s="193" t="s">
        <v>693</v>
      </c>
      <c r="D67" s="210">
        <v>31000</v>
      </c>
      <c r="E67" s="210"/>
      <c r="F67" s="210">
        <v>-31000</v>
      </c>
      <c r="G67" s="210">
        <f>SUM(D67:F67)</f>
        <v>0</v>
      </c>
    </row>
    <row r="68" spans="1:7">
      <c r="A68" s="486"/>
      <c r="C68" s="171" t="s">
        <v>121</v>
      </c>
      <c r="D68" s="441">
        <v>10230</v>
      </c>
      <c r="E68" s="441"/>
      <c r="F68" s="441">
        <v>-10230</v>
      </c>
      <c r="G68" s="441">
        <f>SUM(D68:F68)</f>
        <v>0</v>
      </c>
    </row>
    <row r="69" spans="1:7">
      <c r="A69" s="486"/>
      <c r="C69" s="111"/>
      <c r="D69" s="210"/>
      <c r="E69" s="210"/>
      <c r="G69" s="210">
        <f>SUM(D69:F69)</f>
        <v>0</v>
      </c>
    </row>
    <row r="70" spans="1:7">
      <c r="A70" s="486" t="s">
        <v>678</v>
      </c>
      <c r="B70" s="5" t="s">
        <v>241</v>
      </c>
      <c r="C70" s="216" t="s">
        <v>694</v>
      </c>
      <c r="D70" s="210">
        <v>442470</v>
      </c>
      <c r="E70" s="210"/>
      <c r="F70" s="605">
        <v>-16000</v>
      </c>
      <c r="G70" s="210">
        <f>SUM(D70:F70)</f>
        <v>426470</v>
      </c>
    </row>
    <row r="71" spans="1:7">
      <c r="A71" s="486"/>
      <c r="C71" s="171" t="s">
        <v>121</v>
      </c>
      <c r="D71" s="441">
        <v>47000</v>
      </c>
      <c r="E71" s="441"/>
      <c r="F71" s="542">
        <v>-11958</v>
      </c>
      <c r="G71" s="441">
        <f>SUM(D71:F71)</f>
        <v>35042</v>
      </c>
    </row>
    <row r="72" spans="1:7">
      <c r="A72" s="486"/>
      <c r="C72" s="171"/>
      <c r="D72" s="441"/>
      <c r="E72" s="441"/>
      <c r="G72" s="441">
        <f>SUM(D72:F72)</f>
        <v>0</v>
      </c>
    </row>
    <row r="73" spans="1:7" ht="24">
      <c r="A73" s="486"/>
      <c r="C73" s="241" t="s">
        <v>695</v>
      </c>
      <c r="D73" s="4">
        <v>16000</v>
      </c>
      <c r="E73" s="4"/>
      <c r="F73" s="605">
        <v>-16000</v>
      </c>
      <c r="G73" s="4">
        <f>SUM(D73:F73)</f>
        <v>0</v>
      </c>
    </row>
    <row r="74" spans="1:7">
      <c r="A74" s="486"/>
      <c r="C74" s="182" t="s">
        <v>121</v>
      </c>
      <c r="D74" s="441">
        <v>11958</v>
      </c>
      <c r="E74" s="441"/>
      <c r="F74" s="542">
        <v>-11958</v>
      </c>
      <c r="G74" s="441">
        <f>SUM(D74:F74)</f>
        <v>0</v>
      </c>
    </row>
    <row r="75" spans="1:7">
      <c r="A75" s="486"/>
      <c r="C75" s="111"/>
      <c r="D75" s="210"/>
      <c r="E75" s="210"/>
      <c r="G75" s="210">
        <f>SUM(D75:F75)</f>
        <v>0</v>
      </c>
    </row>
    <row r="76" spans="1:7">
      <c r="A76" s="486" t="s">
        <v>678</v>
      </c>
      <c r="B76" s="5" t="s">
        <v>241</v>
      </c>
      <c r="C76" s="216" t="s">
        <v>696</v>
      </c>
      <c r="D76" s="210">
        <v>20000</v>
      </c>
      <c r="E76" s="210"/>
      <c r="G76" s="210">
        <f>SUM(D76:F76)</f>
        <v>20000</v>
      </c>
    </row>
    <row r="77" spans="1:7">
      <c r="A77" s="486"/>
      <c r="C77" s="171" t="s">
        <v>121</v>
      </c>
      <c r="D77" s="441">
        <v>4000</v>
      </c>
      <c r="E77" s="441"/>
      <c r="G77" s="441">
        <f>SUM(D77:F77)</f>
        <v>4000</v>
      </c>
    </row>
    <row r="78" spans="1:7">
      <c r="A78" s="486"/>
      <c r="C78" s="171"/>
      <c r="D78" s="210"/>
      <c r="E78" s="210"/>
      <c r="G78" s="210">
        <f>SUM(D78:F78)</f>
        <v>0</v>
      </c>
    </row>
    <row r="79" spans="1:7">
      <c r="A79" s="486" t="s">
        <v>838</v>
      </c>
      <c r="B79" s="5" t="s">
        <v>241</v>
      </c>
      <c r="C79" s="216" t="s">
        <v>697</v>
      </c>
      <c r="D79" s="210">
        <v>59260</v>
      </c>
      <c r="E79" s="210"/>
      <c r="G79" s="210">
        <f>SUM(D79:F79)</f>
        <v>59260</v>
      </c>
    </row>
    <row r="80" spans="1:7">
      <c r="A80" s="486"/>
      <c r="C80" s="171"/>
      <c r="D80" s="210"/>
      <c r="E80" s="210"/>
      <c r="G80" s="210">
        <f>SUM(D80:F80)</f>
        <v>0</v>
      </c>
    </row>
    <row r="81" spans="1:7">
      <c r="A81" s="486" t="s">
        <v>838</v>
      </c>
      <c r="B81" s="5" t="s">
        <v>241</v>
      </c>
      <c r="C81" s="216" t="s">
        <v>504</v>
      </c>
      <c r="D81" s="210">
        <v>60000</v>
      </c>
      <c r="E81" s="210"/>
      <c r="G81" s="210">
        <f>SUM(D81:F81)</f>
        <v>60000</v>
      </c>
    </row>
    <row r="82" spans="1:7">
      <c r="A82" s="486"/>
      <c r="C82" s="171"/>
      <c r="D82" s="210"/>
      <c r="E82" s="210"/>
      <c r="G82" s="210">
        <f>SUM(D82:F82)</f>
        <v>0</v>
      </c>
    </row>
    <row r="83" spans="1:7">
      <c r="A83" s="486" t="s">
        <v>838</v>
      </c>
      <c r="B83" s="5" t="s">
        <v>241</v>
      </c>
      <c r="C83" s="233" t="s">
        <v>969</v>
      </c>
      <c r="D83" s="210">
        <v>40790</v>
      </c>
      <c r="E83" s="210"/>
      <c r="G83" s="210">
        <f>SUM(D83:F83)</f>
        <v>40790</v>
      </c>
    </row>
    <row r="84" spans="1:7">
      <c r="A84" s="486"/>
      <c r="C84" s="171" t="s">
        <v>121</v>
      </c>
      <c r="D84" s="441">
        <v>1200</v>
      </c>
      <c r="E84" s="441"/>
      <c r="G84" s="441">
        <f>SUM(D84:F84)</f>
        <v>1200</v>
      </c>
    </row>
    <row r="85" spans="1:7">
      <c r="A85" s="486"/>
      <c r="C85" s="171"/>
      <c r="D85" s="210"/>
      <c r="E85" s="210"/>
      <c r="G85" s="210">
        <f>SUM(D85:F85)</f>
        <v>0</v>
      </c>
    </row>
    <row r="86" spans="1:7">
      <c r="A86" s="486" t="s">
        <v>837</v>
      </c>
      <c r="B86" s="5" t="s">
        <v>241</v>
      </c>
      <c r="C86" s="233" t="s">
        <v>698</v>
      </c>
      <c r="D86" s="210">
        <v>26340</v>
      </c>
      <c r="E86" s="210"/>
      <c r="F86" s="606">
        <v>7315</v>
      </c>
      <c r="G86" s="210">
        <f>SUM(D86:F86)</f>
        <v>33655</v>
      </c>
    </row>
    <row r="87" spans="1:7">
      <c r="A87" s="486"/>
      <c r="C87" s="171" t="s">
        <v>121</v>
      </c>
      <c r="D87" s="441">
        <v>19800</v>
      </c>
      <c r="E87" s="441"/>
      <c r="F87" s="542">
        <v>5500</v>
      </c>
      <c r="G87" s="441">
        <f>SUM(D87:F87)</f>
        <v>25300</v>
      </c>
    </row>
    <row r="88" spans="1:7">
      <c r="A88" s="486"/>
      <c r="C88" s="111"/>
      <c r="D88" s="210"/>
      <c r="E88" s="210"/>
      <c r="G88" s="210">
        <f>SUM(D88:F88)</f>
        <v>0</v>
      </c>
    </row>
    <row r="89" spans="1:7">
      <c r="A89" s="486" t="s">
        <v>678</v>
      </c>
      <c r="B89" s="5" t="s">
        <v>241</v>
      </c>
      <c r="C89" s="239" t="s">
        <v>699</v>
      </c>
      <c r="D89" s="210">
        <v>181800</v>
      </c>
      <c r="E89" s="210"/>
      <c r="G89" s="210">
        <f>SUM(D89:F89)</f>
        <v>181800</v>
      </c>
    </row>
    <row r="90" spans="1:7">
      <c r="A90" s="486"/>
      <c r="C90" s="111"/>
      <c r="D90" s="210"/>
      <c r="E90" s="210"/>
      <c r="G90" s="210">
        <f>SUM(D90:F90)</f>
        <v>0</v>
      </c>
    </row>
    <row r="91" spans="1:7">
      <c r="A91" s="486" t="s">
        <v>670</v>
      </c>
      <c r="B91" s="5" t="s">
        <v>241</v>
      </c>
      <c r="C91" s="216" t="s">
        <v>700</v>
      </c>
      <c r="D91" s="210">
        <f>SUM(D92:D99)</f>
        <v>48110</v>
      </c>
      <c r="E91" s="210"/>
      <c r="G91" s="210">
        <f>SUM(D91:F91)</f>
        <v>48110</v>
      </c>
    </row>
    <row r="92" spans="1:7">
      <c r="A92" s="486"/>
      <c r="C92" s="214" t="s">
        <v>970</v>
      </c>
      <c r="D92" s="208">
        <v>12800</v>
      </c>
      <c r="E92" s="208"/>
      <c r="G92" s="208">
        <f>SUM(D92:F92)</f>
        <v>12800</v>
      </c>
    </row>
    <row r="93" spans="1:7">
      <c r="A93" s="486"/>
      <c r="C93" s="192" t="s">
        <v>701</v>
      </c>
      <c r="D93" s="208">
        <v>10000</v>
      </c>
      <c r="E93" s="208"/>
      <c r="G93" s="208">
        <f>SUM(D93:F93)</f>
        <v>10000</v>
      </c>
    </row>
    <row r="94" spans="1:7">
      <c r="A94" s="486"/>
      <c r="C94" s="192" t="s">
        <v>702</v>
      </c>
      <c r="D94" s="208">
        <v>5760</v>
      </c>
      <c r="E94" s="208"/>
      <c r="G94" s="208">
        <f>SUM(D94:F94)</f>
        <v>5760</v>
      </c>
    </row>
    <row r="95" spans="1:7">
      <c r="A95" s="486"/>
      <c r="C95" s="192" t="s">
        <v>703</v>
      </c>
      <c r="D95" s="208">
        <v>6400</v>
      </c>
      <c r="E95" s="208"/>
      <c r="G95" s="208">
        <f>SUM(D95:F95)</f>
        <v>6400</v>
      </c>
    </row>
    <row r="96" spans="1:7">
      <c r="A96" s="486"/>
      <c r="C96" s="192" t="s">
        <v>783</v>
      </c>
      <c r="D96" s="208">
        <v>5750</v>
      </c>
      <c r="E96" s="208"/>
      <c r="G96" s="208">
        <f>SUM(D96:F96)</f>
        <v>5750</v>
      </c>
    </row>
    <row r="97" spans="1:7">
      <c r="A97" s="486"/>
      <c r="C97" s="192" t="s">
        <v>704</v>
      </c>
      <c r="D97" s="208">
        <v>3200</v>
      </c>
      <c r="E97" s="208"/>
      <c r="G97" s="208">
        <f>SUM(D97:F97)</f>
        <v>3200</v>
      </c>
    </row>
    <row r="98" spans="1:7">
      <c r="A98" s="486"/>
      <c r="C98" s="192" t="s">
        <v>705</v>
      </c>
      <c r="D98" s="208">
        <v>3200</v>
      </c>
      <c r="E98" s="208"/>
      <c r="G98" s="208">
        <f>SUM(D98:F98)</f>
        <v>3200</v>
      </c>
    </row>
    <row r="99" spans="1:7">
      <c r="A99" s="486"/>
      <c r="C99" s="192" t="s">
        <v>706</v>
      </c>
      <c r="D99" s="208">
        <v>1000</v>
      </c>
      <c r="E99" s="208"/>
      <c r="G99" s="208">
        <f>SUM(D99:F99)</f>
        <v>1000</v>
      </c>
    </row>
    <row r="100" spans="1:7">
      <c r="A100" s="486"/>
      <c r="C100" s="227"/>
      <c r="D100" s="290"/>
      <c r="E100" s="290"/>
      <c r="G100" s="290">
        <f>SUM(D100:F100)</f>
        <v>0</v>
      </c>
    </row>
    <row r="101" spans="1:7">
      <c r="A101" s="486" t="s">
        <v>678</v>
      </c>
      <c r="B101" s="5" t="s">
        <v>241</v>
      </c>
      <c r="C101" s="216" t="s">
        <v>707</v>
      </c>
      <c r="D101" s="290">
        <f>85000+10000</f>
        <v>95000</v>
      </c>
      <c r="E101" s="290"/>
      <c r="G101" s="290">
        <f>SUM(D101:F101)</f>
        <v>95000</v>
      </c>
    </row>
    <row r="102" spans="1:7">
      <c r="A102" s="486"/>
      <c r="C102" s="171" t="s">
        <v>121</v>
      </c>
      <c r="D102" s="287">
        <v>3000</v>
      </c>
      <c r="E102" s="287"/>
      <c r="G102" s="287">
        <f>SUM(D102:F102)</f>
        <v>3000</v>
      </c>
    </row>
    <row r="103" spans="1:7">
      <c r="A103" s="486"/>
      <c r="C103" s="171"/>
      <c r="D103" s="287"/>
      <c r="E103" s="287"/>
      <c r="G103" s="287">
        <f>SUM(D103:F103)</f>
        <v>0</v>
      </c>
    </row>
    <row r="104" spans="1:7">
      <c r="A104" s="486" t="s">
        <v>678</v>
      </c>
      <c r="B104" s="5" t="s">
        <v>241</v>
      </c>
      <c r="C104" s="637" t="s">
        <v>971</v>
      </c>
      <c r="D104" s="287"/>
      <c r="E104" s="287"/>
      <c r="F104" s="605">
        <v>40000</v>
      </c>
      <c r="G104" s="287">
        <f>SUM(D104:F104)</f>
        <v>40000</v>
      </c>
    </row>
    <row r="105" spans="1:7">
      <c r="A105" s="486"/>
      <c r="C105" s="227"/>
      <c r="D105" s="290"/>
      <c r="E105" s="290"/>
      <c r="G105" s="290">
        <f>SUM(D105:F105)</f>
        <v>0</v>
      </c>
    </row>
    <row r="106" spans="1:7">
      <c r="A106" s="486"/>
      <c r="C106" s="189"/>
      <c r="D106" s="278"/>
      <c r="E106" s="278"/>
      <c r="G106" s="278">
        <f>SUM(D106:F106)</f>
        <v>0</v>
      </c>
    </row>
    <row r="107" spans="1:7" ht="15.75">
      <c r="A107" s="486"/>
      <c r="C107" s="234" t="s">
        <v>109</v>
      </c>
      <c r="D107" s="284"/>
      <c r="E107" s="284"/>
      <c r="G107" s="284">
        <f>SUM(D107:F107)</f>
        <v>0</v>
      </c>
    </row>
    <row r="108" spans="1:7">
      <c r="A108" s="486"/>
      <c r="C108" s="198"/>
      <c r="D108" s="210"/>
      <c r="E108" s="210"/>
      <c r="G108" s="210">
        <f>SUM(D108:F108)</f>
        <v>0</v>
      </c>
    </row>
    <row r="109" spans="1:7">
      <c r="A109" s="486"/>
      <c r="C109" s="186" t="s">
        <v>240</v>
      </c>
      <c r="D109" s="277">
        <f>D116</f>
        <v>912220</v>
      </c>
      <c r="E109" s="277">
        <f t="shared" ref="E109" si="1">E116</f>
        <v>28085</v>
      </c>
      <c r="F109" s="103">
        <f>F116</f>
        <v>4000</v>
      </c>
      <c r="G109" s="277">
        <f>SUM(D109:F109)</f>
        <v>944305</v>
      </c>
    </row>
    <row r="110" spans="1:7">
      <c r="A110" s="486"/>
      <c r="C110" s="187" t="s">
        <v>825</v>
      </c>
      <c r="D110" s="278">
        <v>75000</v>
      </c>
      <c r="E110" s="278"/>
      <c r="G110" s="278">
        <f>SUM(D110:F110)</f>
        <v>75000</v>
      </c>
    </row>
    <row r="111" spans="1:7">
      <c r="A111" s="486"/>
      <c r="C111" s="197" t="s">
        <v>118</v>
      </c>
      <c r="D111" s="279">
        <f>D112+D113</f>
        <v>912220</v>
      </c>
      <c r="E111" s="279">
        <f t="shared" ref="E111" si="2">E112+E113</f>
        <v>28085</v>
      </c>
      <c r="F111" s="279">
        <f>F112+F113</f>
        <v>4000</v>
      </c>
      <c r="G111" s="279">
        <f>SUM(D111:F111)</f>
        <v>944305</v>
      </c>
    </row>
    <row r="112" spans="1:7">
      <c r="A112" s="486"/>
      <c r="C112" s="189" t="s">
        <v>119</v>
      </c>
      <c r="D112" s="278">
        <f>'[3]2.2 OMATULUD'!B18</f>
        <v>33066</v>
      </c>
      <c r="E112" s="278"/>
      <c r="F112" s="278">
        <v>4000</v>
      </c>
      <c r="G112" s="278">
        <f>SUM(D112:F112)</f>
        <v>37066</v>
      </c>
    </row>
    <row r="113" spans="1:26">
      <c r="A113" s="486"/>
      <c r="C113" s="173" t="s">
        <v>120</v>
      </c>
      <c r="D113" s="278">
        <f>D109-D112</f>
        <v>879154</v>
      </c>
      <c r="E113" s="278">
        <f t="shared" ref="E113" si="3">E109-E112</f>
        <v>28085</v>
      </c>
      <c r="F113" s="278">
        <f>F109-F112</f>
        <v>0</v>
      </c>
      <c r="G113" s="278">
        <f>SUM(D113:F113)</f>
        <v>907239</v>
      </c>
    </row>
    <row r="114" spans="1:26" s="493" customFormat="1">
      <c r="C114" s="603" t="s">
        <v>884</v>
      </c>
      <c r="D114" s="494">
        <f>D117</f>
        <v>475195</v>
      </c>
      <c r="E114" s="494">
        <f t="shared" ref="E114" si="4">E117</f>
        <v>20990</v>
      </c>
      <c r="F114" s="494">
        <f>F117</f>
        <v>20876</v>
      </c>
      <c r="G114" s="494">
        <f>SUM(D114:F114)</f>
        <v>517061</v>
      </c>
      <c r="H114" s="495"/>
      <c r="I114" s="495"/>
      <c r="J114" s="495"/>
      <c r="K114" s="495"/>
      <c r="L114" s="495"/>
      <c r="M114" s="604"/>
      <c r="O114" s="495"/>
      <c r="P114" s="495"/>
      <c r="Q114" s="495"/>
      <c r="R114" s="604"/>
      <c r="T114" s="495"/>
      <c r="U114" s="495"/>
      <c r="V114" s="495"/>
      <c r="W114" s="604"/>
      <c r="Z114" s="103"/>
    </row>
    <row r="115" spans="1:26">
      <c r="A115" s="486"/>
      <c r="C115" s="198"/>
      <c r="D115" s="210"/>
      <c r="E115" s="210"/>
      <c r="G115" s="210">
        <f>SUM(D115:F115)</f>
        <v>0</v>
      </c>
    </row>
    <row r="116" spans="1:26">
      <c r="A116" s="486" t="s">
        <v>678</v>
      </c>
      <c r="B116" s="5" t="s">
        <v>109</v>
      </c>
      <c r="C116" s="181" t="s">
        <v>708</v>
      </c>
      <c r="D116" s="291">
        <f>911694+526</f>
        <v>912220</v>
      </c>
      <c r="E116" s="291">
        <v>28085</v>
      </c>
      <c r="F116" s="551">
        <v>4000</v>
      </c>
      <c r="G116" s="291">
        <f>SUM(D116:F116)</f>
        <v>944305</v>
      </c>
    </row>
    <row r="117" spans="1:26">
      <c r="A117" s="486"/>
      <c r="C117" s="182" t="s">
        <v>121</v>
      </c>
      <c r="D117" s="441">
        <f>474802+393</f>
        <v>475195</v>
      </c>
      <c r="E117" s="441">
        <v>20990</v>
      </c>
      <c r="F117" s="542">
        <f>F120+1420</f>
        <v>20876</v>
      </c>
      <c r="G117" s="441">
        <f>SUM(D117:F117)</f>
        <v>517061</v>
      </c>
    </row>
    <row r="118" spans="1:26">
      <c r="A118" s="486"/>
      <c r="C118" s="182"/>
      <c r="D118" s="210"/>
      <c r="E118" s="210"/>
      <c r="F118" s="542">
        <v>0</v>
      </c>
      <c r="G118" s="210">
        <f>SUM(D118:F118)</f>
        <v>0</v>
      </c>
    </row>
    <row r="119" spans="1:26">
      <c r="A119" s="486"/>
      <c r="C119" s="182" t="s">
        <v>709</v>
      </c>
      <c r="D119" s="210">
        <v>57456</v>
      </c>
      <c r="E119" s="210"/>
      <c r="F119" s="542"/>
      <c r="G119" s="210">
        <f>SUM(D119:F119)</f>
        <v>57456</v>
      </c>
    </row>
    <row r="120" spans="1:26">
      <c r="A120" s="486"/>
      <c r="C120" s="191" t="s">
        <v>121</v>
      </c>
      <c r="D120" s="441">
        <v>11660</v>
      </c>
      <c r="E120" s="441"/>
      <c r="F120" s="542">
        <v>19456</v>
      </c>
      <c r="G120" s="441">
        <f>SUM(D120:F120)</f>
        <v>31116</v>
      </c>
    </row>
    <row r="121" spans="1:26">
      <c r="A121" s="486"/>
      <c r="C121" s="198"/>
      <c r="D121" s="210"/>
      <c r="E121" s="210"/>
      <c r="G121" s="210">
        <f>SUM(D121:F121)</f>
        <v>0</v>
      </c>
    </row>
    <row r="122" spans="1:26">
      <c r="A122" s="486"/>
      <c r="C122" s="198"/>
      <c r="D122" s="210"/>
      <c r="E122" s="210"/>
      <c r="G122" s="210">
        <f>SUM(D122:F122)</f>
        <v>0</v>
      </c>
    </row>
    <row r="123" spans="1:26" ht="15.75">
      <c r="A123" s="486"/>
      <c r="C123" s="234" t="s">
        <v>242</v>
      </c>
      <c r="D123" s="284"/>
      <c r="E123" s="284"/>
      <c r="G123" s="284">
        <f>SUM(D123:F123)</f>
        <v>0</v>
      </c>
    </row>
    <row r="124" spans="1:26">
      <c r="A124" s="486"/>
      <c r="C124" s="198"/>
      <c r="D124" s="210"/>
      <c r="E124" s="210"/>
      <c r="G124" s="210">
        <f>SUM(D124:F124)</f>
        <v>0</v>
      </c>
    </row>
    <row r="125" spans="1:26">
      <c r="A125" s="486"/>
      <c r="C125" s="186" t="s">
        <v>240</v>
      </c>
      <c r="D125" s="277">
        <f>D133</f>
        <v>1107820</v>
      </c>
      <c r="E125" s="277">
        <f t="shared" ref="E125:F125" si="5">E133</f>
        <v>32394</v>
      </c>
      <c r="F125" s="277">
        <f t="shared" si="5"/>
        <v>25311</v>
      </c>
      <c r="G125" s="277">
        <f>SUM(D125:F125)</f>
        <v>1165525</v>
      </c>
    </row>
    <row r="126" spans="1:26">
      <c r="A126" s="486"/>
      <c r="C126" s="187" t="s">
        <v>825</v>
      </c>
      <c r="D126" s="278">
        <v>62000</v>
      </c>
      <c r="E126" s="278"/>
      <c r="F126" s="278"/>
      <c r="G126" s="278">
        <f>SUM(D126:F126)</f>
        <v>62000</v>
      </c>
    </row>
    <row r="127" spans="1:26">
      <c r="A127" s="486"/>
      <c r="C127" s="197" t="s">
        <v>118</v>
      </c>
      <c r="D127" s="279">
        <f>D128+D129+D130</f>
        <v>1107820</v>
      </c>
      <c r="E127" s="279">
        <f t="shared" ref="E127:F127" si="6">E128+E129+E130</f>
        <v>32394</v>
      </c>
      <c r="F127" s="279">
        <f t="shared" si="6"/>
        <v>25311</v>
      </c>
      <c r="G127" s="279">
        <f>SUM(D127:F127)</f>
        <v>1165525</v>
      </c>
    </row>
    <row r="128" spans="1:26">
      <c r="A128" s="486"/>
      <c r="C128" s="189" t="s">
        <v>119</v>
      </c>
      <c r="D128" s="278">
        <f>'[3]2.2 OMATULUD'!B25</f>
        <v>210938</v>
      </c>
      <c r="E128" s="278"/>
      <c r="F128" s="278">
        <v>-2845</v>
      </c>
      <c r="G128" s="278">
        <f>SUM(D128:F128)</f>
        <v>208093</v>
      </c>
    </row>
    <row r="129" spans="1:26">
      <c r="A129" s="486"/>
      <c r="C129" s="173" t="s">
        <v>0</v>
      </c>
      <c r="D129" s="278">
        <v>654602</v>
      </c>
      <c r="E129" s="278"/>
      <c r="F129" s="278">
        <v>-1063</v>
      </c>
      <c r="G129" s="278">
        <f>SUM(D129:F129)</f>
        <v>653539</v>
      </c>
    </row>
    <row r="130" spans="1:26">
      <c r="A130" s="486"/>
      <c r="C130" s="173" t="s">
        <v>120</v>
      </c>
      <c r="D130" s="278">
        <f>D125-D128-D129</f>
        <v>242280</v>
      </c>
      <c r="E130" s="278">
        <f t="shared" ref="E130:F130" si="7">E125-E128-E129</f>
        <v>32394</v>
      </c>
      <c r="F130" s="278">
        <f t="shared" si="7"/>
        <v>29219</v>
      </c>
      <c r="G130" s="278">
        <f>SUM(D130:F130)</f>
        <v>303893</v>
      </c>
    </row>
    <row r="131" spans="1:26" s="493" customFormat="1">
      <c r="C131" s="603" t="s">
        <v>884</v>
      </c>
      <c r="D131" s="494">
        <f>D134</f>
        <v>692072</v>
      </c>
      <c r="E131" s="494">
        <f t="shared" ref="E131:F131" si="8">E134</f>
        <v>24211</v>
      </c>
      <c r="F131" s="494">
        <f t="shared" si="8"/>
        <v>21752</v>
      </c>
      <c r="G131" s="494">
        <f>SUM(D131:F131)</f>
        <v>738035</v>
      </c>
      <c r="H131" s="495"/>
      <c r="I131" s="495"/>
      <c r="J131" s="495"/>
      <c r="K131" s="495"/>
      <c r="L131" s="495"/>
      <c r="M131" s="604"/>
      <c r="O131" s="495"/>
      <c r="P131" s="495"/>
      <c r="Q131" s="495"/>
      <c r="R131" s="604"/>
      <c r="T131" s="495"/>
      <c r="U131" s="495"/>
      <c r="V131" s="495"/>
      <c r="W131" s="604"/>
      <c r="Z131" s="103"/>
    </row>
    <row r="132" spans="1:26">
      <c r="A132" s="486"/>
      <c r="C132" s="198"/>
      <c r="D132" s="210"/>
      <c r="E132" s="210"/>
      <c r="G132" s="210">
        <f>SUM(D132:F132)</f>
        <v>0</v>
      </c>
    </row>
    <row r="133" spans="1:26">
      <c r="A133" s="486" t="s">
        <v>678</v>
      </c>
      <c r="B133" s="5" t="s">
        <v>242</v>
      </c>
      <c r="C133" s="181" t="s">
        <v>710</v>
      </c>
      <c r="D133" s="291">
        <v>1107820</v>
      </c>
      <c r="E133" s="291">
        <v>32394</v>
      </c>
      <c r="F133" s="551">
        <f>-3908+12970-1747+17996</f>
        <v>25311</v>
      </c>
      <c r="G133" s="291">
        <f>SUM(D133:F133)</f>
        <v>1165525</v>
      </c>
    </row>
    <row r="134" spans="1:26">
      <c r="A134" s="486"/>
      <c r="C134" s="182" t="s">
        <v>121</v>
      </c>
      <c r="D134" s="441">
        <v>692072</v>
      </c>
      <c r="E134" s="441">
        <v>24211</v>
      </c>
      <c r="F134" s="542">
        <f>9608-1306+13450</f>
        <v>21752</v>
      </c>
      <c r="G134" s="441">
        <f>SUM(D134:F134)</f>
        <v>738035</v>
      </c>
    </row>
    <row r="135" spans="1:26">
      <c r="A135" s="486"/>
      <c r="C135" s="173"/>
      <c r="D135" s="4"/>
      <c r="E135" s="4"/>
      <c r="G135" s="4">
        <f>SUM(D135:F135)</f>
        <v>0</v>
      </c>
    </row>
    <row r="136" spans="1:26">
      <c r="A136" s="486"/>
      <c r="C136" s="475"/>
      <c r="D136" s="476"/>
      <c r="E136" s="476"/>
      <c r="G136" s="476">
        <f>SUM(D136:F136)</f>
        <v>0</v>
      </c>
    </row>
    <row r="137" spans="1:26" ht="15.75">
      <c r="A137" s="486"/>
      <c r="C137" s="169" t="s">
        <v>122</v>
      </c>
      <c r="D137" s="293"/>
      <c r="E137" s="293"/>
      <c r="G137" s="293">
        <f>SUM(D137:F137)</f>
        <v>0</v>
      </c>
    </row>
    <row r="138" spans="1:26">
      <c r="A138" s="486"/>
      <c r="C138" s="170"/>
      <c r="D138" s="294"/>
      <c r="E138" s="294"/>
      <c r="G138" s="294">
        <f>SUM(D138:F138)</f>
        <v>0</v>
      </c>
    </row>
    <row r="139" spans="1:26">
      <c r="A139" s="486"/>
      <c r="C139" s="186" t="s">
        <v>240</v>
      </c>
      <c r="D139" s="277">
        <f>D148+D197</f>
        <v>140753590</v>
      </c>
      <c r="E139" s="277">
        <f>E148+E197</f>
        <v>73811</v>
      </c>
      <c r="F139" s="277">
        <f>F148+F197</f>
        <v>1041006</v>
      </c>
      <c r="G139" s="277">
        <f>SUM(D139:F139)</f>
        <v>141868407</v>
      </c>
    </row>
    <row r="140" spans="1:26">
      <c r="A140" s="486"/>
      <c r="C140" s="187" t="s">
        <v>825</v>
      </c>
      <c r="D140" s="278">
        <v>8655800</v>
      </c>
      <c r="E140" s="278"/>
      <c r="F140" s="278">
        <v>854000</v>
      </c>
      <c r="G140" s="278">
        <f>SUM(D140:F140)</f>
        <v>9509800</v>
      </c>
    </row>
    <row r="141" spans="1:26">
      <c r="A141" s="486"/>
      <c r="C141" s="188" t="s">
        <v>118</v>
      </c>
      <c r="D141" s="277">
        <f>SUM(D142:D145)</f>
        <v>140753590</v>
      </c>
      <c r="E141" s="277">
        <f>SUM(E142:E145)</f>
        <v>73811</v>
      </c>
      <c r="F141" s="277">
        <f>SUM(F142:F145)</f>
        <v>1041006</v>
      </c>
      <c r="G141" s="277">
        <f>SUM(D141:F141)</f>
        <v>141868407</v>
      </c>
    </row>
    <row r="142" spans="1:26">
      <c r="A142" s="486"/>
      <c r="C142" s="189" t="s">
        <v>119</v>
      </c>
      <c r="D142" s="278">
        <f>'[3]2.2 OMATULUD'!B33</f>
        <v>27724645</v>
      </c>
      <c r="E142" s="278">
        <f>'[3]2.2 OMATULUD'!E33</f>
        <v>0</v>
      </c>
      <c r="F142" s="278">
        <f>'[3]2.2 OMATULUD'!D33</f>
        <v>979760</v>
      </c>
      <c r="G142" s="278">
        <f>SUM(D142:F142)</f>
        <v>28704405</v>
      </c>
    </row>
    <row r="143" spans="1:26">
      <c r="A143" s="486"/>
      <c r="C143" s="173" t="s">
        <v>0</v>
      </c>
      <c r="D143" s="278">
        <v>109020</v>
      </c>
      <c r="E143" s="278"/>
      <c r="F143" s="278"/>
      <c r="G143" s="278">
        <f>SUM(D143:F143)</f>
        <v>109020</v>
      </c>
    </row>
    <row r="144" spans="1:26">
      <c r="A144" s="486"/>
      <c r="C144" s="173" t="s">
        <v>106</v>
      </c>
      <c r="D144" s="278">
        <f>D221</f>
        <v>126208</v>
      </c>
      <c r="E144" s="278">
        <f>E221</f>
        <v>0</v>
      </c>
      <c r="F144" s="278">
        <f>F221</f>
        <v>0</v>
      </c>
      <c r="G144" s="278">
        <f>SUM(D144:F144)</f>
        <v>126208</v>
      </c>
    </row>
    <row r="145" spans="1:26">
      <c r="A145" s="486"/>
      <c r="C145" s="173" t="s">
        <v>120</v>
      </c>
      <c r="D145" s="278">
        <f>D139-D142-D144-D143</f>
        <v>112793717</v>
      </c>
      <c r="E145" s="278">
        <f>E139-E142-E144-E143</f>
        <v>73811</v>
      </c>
      <c r="F145" s="278">
        <f>F139-F142-F144-F143</f>
        <v>61246</v>
      </c>
      <c r="G145" s="278">
        <f>SUM(D145:F145)</f>
        <v>112928774</v>
      </c>
    </row>
    <row r="146" spans="1:26" s="493" customFormat="1">
      <c r="C146" s="603" t="s">
        <v>884</v>
      </c>
      <c r="D146" s="494">
        <f>D150+D161+D172+D186+D179+D200+D203+D219</f>
        <v>66166091</v>
      </c>
      <c r="E146" s="494">
        <f>E150+E161+E172+E186+E179+E200+E203+E219</f>
        <v>55165</v>
      </c>
      <c r="F146" s="494">
        <f>F150+F161+F172+F186+F179+F200+F203+F219</f>
        <v>383944</v>
      </c>
      <c r="G146" s="494">
        <f>SUM(D146:F146)</f>
        <v>66605200</v>
      </c>
      <c r="H146" s="495"/>
      <c r="I146" s="495"/>
      <c r="J146" s="495"/>
      <c r="K146" s="495"/>
      <c r="L146" s="495"/>
      <c r="M146" s="604"/>
      <c r="O146" s="495"/>
      <c r="P146" s="495"/>
      <c r="Q146" s="495"/>
      <c r="R146" s="604"/>
      <c r="T146" s="495"/>
      <c r="U146" s="495"/>
      <c r="V146" s="495"/>
      <c r="W146" s="604"/>
      <c r="Z146" s="103"/>
    </row>
    <row r="147" spans="1:26">
      <c r="A147" s="486"/>
      <c r="C147" s="96"/>
      <c r="D147" s="277"/>
      <c r="E147" s="277"/>
      <c r="F147" s="277"/>
      <c r="G147" s="277">
        <f>SUM(D147:F147)</f>
        <v>0</v>
      </c>
    </row>
    <row r="148" spans="1:26" ht="15">
      <c r="A148" s="486" t="s">
        <v>670</v>
      </c>
      <c r="B148" s="5" t="s">
        <v>122</v>
      </c>
      <c r="C148" s="190" t="s">
        <v>448</v>
      </c>
      <c r="D148" s="297">
        <f>D149+D160+D171+D178+D185</f>
        <v>137873420</v>
      </c>
      <c r="E148" s="297">
        <f>E149+E160+E171+E178+E185</f>
        <v>0</v>
      </c>
      <c r="F148" s="297">
        <f>F149+F160+F171+F178+F185</f>
        <v>962580</v>
      </c>
      <c r="G148" s="297">
        <f>SUM(D148:F148)</f>
        <v>138836000</v>
      </c>
    </row>
    <row r="149" spans="1:26">
      <c r="A149" s="486"/>
      <c r="C149" s="181" t="s">
        <v>449</v>
      </c>
      <c r="D149" s="285">
        <f>D155</f>
        <v>82765210</v>
      </c>
      <c r="E149" s="285">
        <f>E155</f>
        <v>0</v>
      </c>
      <c r="F149" s="285">
        <f>F155</f>
        <v>996590</v>
      </c>
      <c r="G149" s="285">
        <f>SUM(D149:F149)</f>
        <v>83761800</v>
      </c>
    </row>
    <row r="150" spans="1:26">
      <c r="A150" s="486"/>
      <c r="C150" s="182" t="s">
        <v>121</v>
      </c>
      <c r="D150" s="281">
        <f>D156</f>
        <v>46304046</v>
      </c>
      <c r="E150" s="281">
        <f>E156</f>
        <v>0</v>
      </c>
      <c r="F150" s="281">
        <f>F156</f>
        <v>0</v>
      </c>
      <c r="G150" s="281">
        <f>SUM(D150:F150)</f>
        <v>46304046</v>
      </c>
    </row>
    <row r="151" spans="1:26">
      <c r="A151" s="486"/>
      <c r="C151" s="360" t="s">
        <v>450</v>
      </c>
      <c r="D151" s="281">
        <f>D157</f>
        <v>253520</v>
      </c>
      <c r="E151" s="281"/>
      <c r="G151" s="281">
        <f>SUM(D151:F151)</f>
        <v>253520</v>
      </c>
    </row>
    <row r="152" spans="1:26">
      <c r="A152" s="486"/>
      <c r="C152" s="360" t="s">
        <v>451</v>
      </c>
      <c r="D152" s="281">
        <f>D158</f>
        <v>200000</v>
      </c>
      <c r="E152" s="281"/>
      <c r="G152" s="281">
        <f>SUM(D152:F152)</f>
        <v>200000</v>
      </c>
    </row>
    <row r="153" spans="1:26">
      <c r="A153" s="486"/>
      <c r="C153" s="360"/>
      <c r="D153" s="281"/>
      <c r="E153" s="281"/>
      <c r="G153" s="281">
        <f>SUM(D153:F153)</f>
        <v>0</v>
      </c>
    </row>
    <row r="154" spans="1:26">
      <c r="A154" s="486"/>
      <c r="C154" s="609" t="s">
        <v>973</v>
      </c>
      <c r="D154" s="281"/>
      <c r="E154" s="281"/>
      <c r="G154" s="281">
        <f>SUM(D154:F154)</f>
        <v>0</v>
      </c>
    </row>
    <row r="155" spans="1:26">
      <c r="A155" s="486"/>
      <c r="C155" s="610" t="s">
        <v>974</v>
      </c>
      <c r="D155" s="282">
        <v>82765210</v>
      </c>
      <c r="E155" s="282"/>
      <c r="F155" s="282">
        <f>-59150+1050+150000+881000+30000-6310</f>
        <v>996590</v>
      </c>
      <c r="G155" s="281">
        <f>SUM(D155:F155)</f>
        <v>83761800</v>
      </c>
    </row>
    <row r="156" spans="1:26">
      <c r="A156" s="486"/>
      <c r="C156" s="361" t="s">
        <v>121</v>
      </c>
      <c r="D156" s="281">
        <v>46304046</v>
      </c>
      <c r="E156" s="281"/>
      <c r="F156" s="281"/>
      <c r="G156" s="281">
        <f>SUM(D156:F156)</f>
        <v>46304046</v>
      </c>
    </row>
    <row r="157" spans="1:26">
      <c r="A157" s="486"/>
      <c r="C157" s="611" t="s">
        <v>450</v>
      </c>
      <c r="D157" s="281">
        <v>253520</v>
      </c>
      <c r="E157" s="281"/>
      <c r="F157" s="281"/>
      <c r="G157" s="281">
        <f>SUM(D157:F157)</f>
        <v>253520</v>
      </c>
    </row>
    <row r="158" spans="1:26">
      <c r="A158" s="486"/>
      <c r="C158" s="611" t="s">
        <v>451</v>
      </c>
      <c r="D158" s="281">
        <v>200000</v>
      </c>
      <c r="E158" s="281"/>
      <c r="F158" s="281"/>
      <c r="G158" s="281">
        <f>SUM(D158:F158)</f>
        <v>200000</v>
      </c>
    </row>
    <row r="159" spans="1:26">
      <c r="A159" s="486"/>
      <c r="C159" s="180"/>
      <c r="D159" s="282"/>
      <c r="E159" s="282"/>
      <c r="G159" s="281">
        <f>SUM(D159:F159)</f>
        <v>0</v>
      </c>
    </row>
    <row r="160" spans="1:26">
      <c r="A160" s="486"/>
      <c r="C160" s="181" t="s">
        <v>452</v>
      </c>
      <c r="D160" s="285">
        <f>D165</f>
        <v>44914274</v>
      </c>
      <c r="E160" s="285">
        <f>E165</f>
        <v>0</v>
      </c>
      <c r="F160" s="285">
        <f>F165</f>
        <v>-597160</v>
      </c>
      <c r="G160" s="285">
        <f>SUM(D160:F160)</f>
        <v>44317114</v>
      </c>
    </row>
    <row r="161" spans="1:7">
      <c r="A161" s="486"/>
      <c r="C161" s="182" t="s">
        <v>121</v>
      </c>
      <c r="D161" s="281">
        <f>D166</f>
        <v>12275742</v>
      </c>
      <c r="E161" s="281">
        <f>E166</f>
        <v>0</v>
      </c>
      <c r="F161" s="281">
        <f>F166</f>
        <v>154181</v>
      </c>
      <c r="G161" s="281">
        <f>SUM(D161:F161)</f>
        <v>12429923</v>
      </c>
    </row>
    <row r="162" spans="1:7">
      <c r="A162" s="486"/>
      <c r="C162" s="361" t="s">
        <v>453</v>
      </c>
      <c r="D162" s="281">
        <f>D167</f>
        <v>3435968</v>
      </c>
      <c r="E162" s="281">
        <f t="shared" ref="E162:F162" si="9">E167</f>
        <v>0</v>
      </c>
      <c r="F162" s="281">
        <f t="shared" si="9"/>
        <v>0</v>
      </c>
      <c r="G162" s="281">
        <f>SUM(D162:F162)</f>
        <v>3435968</v>
      </c>
    </row>
    <row r="163" spans="1:7">
      <c r="A163" s="486"/>
      <c r="C163" s="361"/>
      <c r="D163" s="281"/>
      <c r="E163" s="281"/>
      <c r="G163" s="281">
        <f>SUM(D163:F163)</f>
        <v>0</v>
      </c>
    </row>
    <row r="164" spans="1:7">
      <c r="A164" s="486"/>
      <c r="C164" s="609" t="s">
        <v>973</v>
      </c>
      <c r="D164" s="279"/>
      <c r="E164" s="279"/>
      <c r="G164" s="279">
        <f>SUM(D164:F164)</f>
        <v>0</v>
      </c>
    </row>
    <row r="165" spans="1:7">
      <c r="A165" s="486"/>
      <c r="C165" s="610" t="s">
        <v>975</v>
      </c>
      <c r="D165" s="282">
        <f>43084996+123100+1706178</f>
        <v>44914274</v>
      </c>
      <c r="E165" s="282"/>
      <c r="F165" s="282">
        <f>626520+1220-150000-3650+153750-1250000+15000+10000</f>
        <v>-597160</v>
      </c>
      <c r="G165" s="282">
        <f>SUM(D165:F165)</f>
        <v>44317114</v>
      </c>
    </row>
    <row r="166" spans="1:7">
      <c r="A166" s="486"/>
      <c r="C166" s="361" t="s">
        <v>121</v>
      </c>
      <c r="D166" s="281">
        <f>11677742+92000+506000</f>
        <v>12275742</v>
      </c>
      <c r="E166" s="281"/>
      <c r="F166" s="281">
        <f>149081+5100</f>
        <v>154181</v>
      </c>
      <c r="G166" s="281">
        <f>SUM(D166:F166)</f>
        <v>12429923</v>
      </c>
    </row>
    <row r="167" spans="1:7">
      <c r="A167" s="486"/>
      <c r="C167" s="611" t="s">
        <v>453</v>
      </c>
      <c r="D167" s="281">
        <f>3463352-27384</f>
        <v>3435968</v>
      </c>
      <c r="E167" s="281"/>
      <c r="F167" s="281"/>
      <c r="G167" s="281">
        <f>SUM(D167:F167)</f>
        <v>3435968</v>
      </c>
    </row>
    <row r="168" spans="1:7">
      <c r="A168" s="486"/>
      <c r="C168" s="191" t="s">
        <v>976</v>
      </c>
      <c r="D168" s="281"/>
      <c r="E168" s="281"/>
      <c r="F168" s="542">
        <v>10000</v>
      </c>
      <c r="G168" s="281">
        <f>SUM(D168:F168)</f>
        <v>10000</v>
      </c>
    </row>
    <row r="169" spans="1:7">
      <c r="A169" s="486"/>
      <c r="C169" s="203" t="s">
        <v>121</v>
      </c>
      <c r="D169" s="281"/>
      <c r="E169" s="281"/>
      <c r="F169" s="542">
        <v>5100</v>
      </c>
      <c r="G169" s="281">
        <f>SUM(D169:F169)</f>
        <v>5100</v>
      </c>
    </row>
    <row r="170" spans="1:7">
      <c r="A170" s="486"/>
      <c r="C170" s="360"/>
      <c r="D170" s="281"/>
      <c r="E170" s="281"/>
      <c r="G170" s="281">
        <f>SUM(D170:F170)</f>
        <v>0</v>
      </c>
    </row>
    <row r="171" spans="1:7">
      <c r="A171" s="486"/>
      <c r="C171" s="181" t="s">
        <v>454</v>
      </c>
      <c r="D171" s="285">
        <f>D175</f>
        <v>454649</v>
      </c>
      <c r="E171" s="285">
        <f>E175</f>
        <v>0</v>
      </c>
      <c r="F171" s="285">
        <f>F175</f>
        <v>9110</v>
      </c>
      <c r="G171" s="285">
        <f>SUM(D171:F171)</f>
        <v>463759</v>
      </c>
    </row>
    <row r="172" spans="1:7">
      <c r="A172" s="486"/>
      <c r="C172" s="182" t="s">
        <v>121</v>
      </c>
      <c r="D172" s="281">
        <f>D176</f>
        <v>170640</v>
      </c>
      <c r="E172" s="281">
        <f>E176</f>
        <v>0</v>
      </c>
      <c r="F172" s="281">
        <f>F176</f>
        <v>0</v>
      </c>
      <c r="G172" s="281">
        <f>SUM(D172:F172)</f>
        <v>170640</v>
      </c>
    </row>
    <row r="173" spans="1:7">
      <c r="A173" s="486"/>
      <c r="C173" s="182"/>
      <c r="D173" s="281"/>
      <c r="E173" s="281"/>
      <c r="G173" s="281">
        <f>SUM(D173:F173)</f>
        <v>0</v>
      </c>
    </row>
    <row r="174" spans="1:7">
      <c r="A174" s="486"/>
      <c r="C174" s="609" t="s">
        <v>973</v>
      </c>
      <c r="D174" s="279"/>
      <c r="E174" s="279"/>
      <c r="G174" s="279">
        <f>SUM(D174:F174)</f>
        <v>0</v>
      </c>
    </row>
    <row r="175" spans="1:7">
      <c r="A175" s="486"/>
      <c r="C175" s="610" t="s">
        <v>977</v>
      </c>
      <c r="D175" s="282">
        <v>454649</v>
      </c>
      <c r="E175" s="512"/>
      <c r="F175" s="282">
        <f>30600-21490</f>
        <v>9110</v>
      </c>
      <c r="G175" s="282">
        <f>SUM(D175:F175)</f>
        <v>463759</v>
      </c>
    </row>
    <row r="176" spans="1:7">
      <c r="A176" s="486"/>
      <c r="C176" s="361" t="s">
        <v>121</v>
      </c>
      <c r="D176" s="281">
        <v>170640</v>
      </c>
      <c r="E176" s="279"/>
      <c r="G176" s="281">
        <f>SUM(D176:F176)</f>
        <v>170640</v>
      </c>
    </row>
    <row r="177" spans="1:7">
      <c r="A177" s="486"/>
      <c r="C177" s="360"/>
      <c r="D177" s="279"/>
      <c r="E177" s="279"/>
      <c r="G177" s="279">
        <f>SUM(D177:F177)</f>
        <v>0</v>
      </c>
    </row>
    <row r="178" spans="1:7">
      <c r="A178" s="486"/>
      <c r="C178" s="181" t="s">
        <v>455</v>
      </c>
      <c r="D178" s="285">
        <f>D182</f>
        <v>8932736</v>
      </c>
      <c r="E178" s="285">
        <f>E182</f>
        <v>0</v>
      </c>
      <c r="F178" s="285">
        <f>F182</f>
        <v>533220</v>
      </c>
      <c r="G178" s="285">
        <f>SUM(D178:F178)</f>
        <v>9465956</v>
      </c>
    </row>
    <row r="179" spans="1:7">
      <c r="A179" s="486"/>
      <c r="C179" s="182" t="s">
        <v>121</v>
      </c>
      <c r="D179" s="281">
        <f>D183</f>
        <v>5570797</v>
      </c>
      <c r="E179" s="281">
        <f>E183</f>
        <v>0</v>
      </c>
      <c r="F179" s="281">
        <f>F183</f>
        <v>235810</v>
      </c>
      <c r="G179" s="281">
        <f>SUM(D179:F179)</f>
        <v>5806607</v>
      </c>
    </row>
    <row r="180" spans="1:7">
      <c r="A180" s="486"/>
      <c r="C180" s="182"/>
      <c r="D180" s="281"/>
      <c r="E180" s="281"/>
      <c r="G180" s="281">
        <f>SUM(D180:F180)</f>
        <v>0</v>
      </c>
    </row>
    <row r="181" spans="1:7">
      <c r="A181" s="486"/>
      <c r="C181" s="609" t="s">
        <v>973</v>
      </c>
      <c r="D181" s="281"/>
      <c r="E181" s="281"/>
      <c r="G181" s="281">
        <f>SUM(D181:F181)</f>
        <v>0</v>
      </c>
    </row>
    <row r="182" spans="1:7">
      <c r="A182" s="486"/>
      <c r="C182" s="610" t="s">
        <v>978</v>
      </c>
      <c r="D182" s="282">
        <v>8932736</v>
      </c>
      <c r="E182" s="281"/>
      <c r="F182" s="282">
        <f>402650+990+3650+2040+132810-8920</f>
        <v>533220</v>
      </c>
      <c r="G182" s="281">
        <f>SUM(D182:F182)</f>
        <v>9465956</v>
      </c>
    </row>
    <row r="183" spans="1:7">
      <c r="A183" s="486"/>
      <c r="C183" s="361" t="s">
        <v>121</v>
      </c>
      <c r="D183" s="281">
        <v>5570797</v>
      </c>
      <c r="E183" s="281"/>
      <c r="F183" s="281">
        <f>142034+1188+99260-6672</f>
        <v>235810</v>
      </c>
      <c r="G183" s="281">
        <f>SUM(D183:F183)</f>
        <v>5806607</v>
      </c>
    </row>
    <row r="184" spans="1:7">
      <c r="A184" s="486"/>
      <c r="C184" s="263"/>
      <c r="D184" s="210"/>
      <c r="E184" s="210"/>
      <c r="G184" s="281">
        <f>SUM(D184:F184)</f>
        <v>0</v>
      </c>
    </row>
    <row r="185" spans="1:7">
      <c r="A185" s="486"/>
      <c r="C185" s="181" t="s">
        <v>456</v>
      </c>
      <c r="D185" s="285">
        <f>D189+D194</f>
        <v>806551</v>
      </c>
      <c r="E185" s="285">
        <f t="shared" ref="E185:F186" si="10">E189+E194</f>
        <v>0</v>
      </c>
      <c r="F185" s="285">
        <f t="shared" si="10"/>
        <v>20820</v>
      </c>
      <c r="G185" s="285">
        <f>SUM(D185:F185)</f>
        <v>827371</v>
      </c>
    </row>
    <row r="186" spans="1:7">
      <c r="A186" s="486"/>
      <c r="C186" s="182" t="s">
        <v>121</v>
      </c>
      <c r="D186" s="281">
        <f>D190+D195</f>
        <v>473260</v>
      </c>
      <c r="E186" s="281">
        <f t="shared" si="10"/>
        <v>0</v>
      </c>
      <c r="F186" s="281">
        <f t="shared" si="10"/>
        <v>8420</v>
      </c>
      <c r="G186" s="281">
        <f>SUM(D186:F186)</f>
        <v>481680</v>
      </c>
    </row>
    <row r="187" spans="1:7">
      <c r="A187" s="486"/>
      <c r="C187" s="182"/>
      <c r="D187" s="285"/>
      <c r="E187" s="285"/>
      <c r="G187" s="285">
        <f>SUM(D187:F187)</f>
        <v>0</v>
      </c>
    </row>
    <row r="188" spans="1:7">
      <c r="A188" s="486"/>
      <c r="C188" s="195" t="s">
        <v>243</v>
      </c>
      <c r="D188" s="282"/>
      <c r="E188" s="282"/>
      <c r="G188" s="282">
        <f>SUM(D188:F188)</f>
        <v>0</v>
      </c>
    </row>
    <row r="189" spans="1:7">
      <c r="A189" s="486"/>
      <c r="C189" s="196" t="s">
        <v>457</v>
      </c>
      <c r="D189" s="280">
        <v>333720</v>
      </c>
      <c r="E189" s="280"/>
      <c r="F189" s="545">
        <v>20820</v>
      </c>
      <c r="G189" s="280">
        <f>SUM(D189:F189)</f>
        <v>354540</v>
      </c>
    </row>
    <row r="190" spans="1:7">
      <c r="A190" s="486"/>
      <c r="C190" s="191" t="s">
        <v>121</v>
      </c>
      <c r="D190" s="281">
        <v>141490</v>
      </c>
      <c r="E190" s="281"/>
      <c r="F190" s="542">
        <f>3405+8420-3405</f>
        <v>8420</v>
      </c>
      <c r="G190" s="281">
        <f>SUM(D190:F190)</f>
        <v>149910</v>
      </c>
    </row>
    <row r="191" spans="1:7">
      <c r="A191" s="486"/>
      <c r="C191" s="191"/>
      <c r="D191" s="286"/>
      <c r="E191" s="286"/>
      <c r="G191" s="286">
        <f>SUM(D191:F191)</f>
        <v>0</v>
      </c>
    </row>
    <row r="192" spans="1:7">
      <c r="A192" s="486"/>
      <c r="C192" s="96"/>
      <c r="D192" s="282"/>
      <c r="E192" s="282"/>
      <c r="G192" s="282">
        <f>SUM(D192:F192)</f>
        <v>0</v>
      </c>
    </row>
    <row r="193" spans="1:7">
      <c r="A193" s="486"/>
      <c r="C193" s="195" t="s">
        <v>243</v>
      </c>
      <c r="D193" s="260"/>
      <c r="E193" s="260"/>
      <c r="G193" s="260">
        <f>SUM(D193:F193)</f>
        <v>0</v>
      </c>
    </row>
    <row r="194" spans="1:7">
      <c r="A194" s="486"/>
      <c r="C194" s="196" t="s">
        <v>458</v>
      </c>
      <c r="D194" s="282">
        <v>472831</v>
      </c>
      <c r="E194" s="282"/>
      <c r="F194" s="282"/>
      <c r="G194" s="282">
        <f>SUM(D194:F194)</f>
        <v>472831</v>
      </c>
    </row>
    <row r="195" spans="1:7">
      <c r="A195" s="486"/>
      <c r="C195" s="191" t="s">
        <v>121</v>
      </c>
      <c r="D195" s="281">
        <v>331770</v>
      </c>
      <c r="E195" s="281"/>
      <c r="F195" s="281"/>
      <c r="G195" s="281">
        <f>SUM(D195:F195)</f>
        <v>331770</v>
      </c>
    </row>
    <row r="196" spans="1:7">
      <c r="A196" s="486"/>
      <c r="C196" s="191"/>
      <c r="D196" s="282"/>
      <c r="E196" s="282"/>
      <c r="G196" s="281">
        <f>SUM(D196:F196)</f>
        <v>0</v>
      </c>
    </row>
    <row r="197" spans="1:7">
      <c r="A197" s="486"/>
      <c r="C197" s="170" t="s">
        <v>244</v>
      </c>
      <c r="D197" s="277">
        <f>D199+D202+D206+D208+D210+D218</f>
        <v>2880170</v>
      </c>
      <c r="E197" s="277">
        <f>E199+E202+E206+E208+E210+E218</f>
        <v>73811</v>
      </c>
      <c r="F197" s="277">
        <f>F199+F202+F206+F208+F210+F218+F212+F214+F216</f>
        <v>78426</v>
      </c>
      <c r="G197" s="277">
        <f>SUM(D197:F197)</f>
        <v>3032407</v>
      </c>
    </row>
    <row r="198" spans="1:7">
      <c r="A198" s="486"/>
      <c r="C198" s="170"/>
      <c r="D198" s="294"/>
      <c r="E198" s="294"/>
      <c r="G198" s="294">
        <f>SUM(D198:F198)</f>
        <v>0</v>
      </c>
    </row>
    <row r="199" spans="1:7">
      <c r="A199" s="486" t="s">
        <v>670</v>
      </c>
      <c r="B199" s="5" t="s">
        <v>122</v>
      </c>
      <c r="C199" s="362" t="s">
        <v>443</v>
      </c>
      <c r="D199" s="280">
        <v>2193862</v>
      </c>
      <c r="E199" s="280">
        <v>73811</v>
      </c>
      <c r="F199" s="581">
        <f>800+2190-6364</f>
        <v>-3374</v>
      </c>
      <c r="G199" s="280">
        <f>SUM(D199:F199)</f>
        <v>2264299</v>
      </c>
    </row>
    <row r="200" spans="1:7">
      <c r="A200" s="486"/>
      <c r="C200" s="363" t="s">
        <v>121</v>
      </c>
      <c r="D200" s="281">
        <v>1273819</v>
      </c>
      <c r="E200" s="281">
        <v>55165</v>
      </c>
      <c r="F200" s="613">
        <f>-4757</f>
        <v>-4757</v>
      </c>
      <c r="G200" s="281">
        <f>SUM(D200:F200)</f>
        <v>1324227</v>
      </c>
    </row>
    <row r="201" spans="1:7">
      <c r="A201" s="486"/>
      <c r="C201" s="364"/>
      <c r="D201" s="365"/>
      <c r="E201" s="365"/>
      <c r="F201" s="581"/>
      <c r="G201" s="365">
        <f>SUM(D201:F201)</f>
        <v>0</v>
      </c>
    </row>
    <row r="202" spans="1:7">
      <c r="A202" s="486" t="s">
        <v>670</v>
      </c>
      <c r="B202" s="5" t="s">
        <v>122</v>
      </c>
      <c r="C202" s="362" t="s">
        <v>459</v>
      </c>
      <c r="D202" s="280">
        <v>200700</v>
      </c>
      <c r="E202" s="280"/>
      <c r="F202" s="581">
        <f>16000+40300-16000+10000</f>
        <v>50300</v>
      </c>
      <c r="G202" s="280">
        <f>SUM(D202:F202)</f>
        <v>251000</v>
      </c>
    </row>
    <row r="203" spans="1:7">
      <c r="A203" s="486"/>
      <c r="C203" s="363" t="s">
        <v>121</v>
      </c>
      <c r="D203" s="281">
        <v>10810</v>
      </c>
      <c r="E203" s="281"/>
      <c r="F203" s="580">
        <v>-9710</v>
      </c>
      <c r="G203" s="281">
        <f>SUM(D203:F203)</f>
        <v>1100</v>
      </c>
    </row>
    <row r="204" spans="1:7">
      <c r="A204" s="486"/>
      <c r="C204" s="366" t="s">
        <v>460</v>
      </c>
      <c r="D204" s="281">
        <v>14000</v>
      </c>
      <c r="E204" s="281"/>
      <c r="G204" s="281">
        <f>SUM(D204:F204)</f>
        <v>14000</v>
      </c>
    </row>
    <row r="205" spans="1:7">
      <c r="A205" s="486"/>
      <c r="C205" s="367"/>
      <c r="D205" s="368"/>
      <c r="E205" s="368"/>
      <c r="G205" s="368">
        <f>SUM(D205:F205)</f>
        <v>0</v>
      </c>
    </row>
    <row r="206" spans="1:7">
      <c r="A206" s="486" t="s">
        <v>670</v>
      </c>
      <c r="B206" s="5" t="s">
        <v>122</v>
      </c>
      <c r="C206" s="362" t="s">
        <v>461</v>
      </c>
      <c r="D206" s="280">
        <v>280000</v>
      </c>
      <c r="E206" s="280"/>
      <c r="G206" s="280">
        <f>SUM(D206:F206)</f>
        <v>280000</v>
      </c>
    </row>
    <row r="207" spans="1:7">
      <c r="A207" s="486"/>
      <c r="C207" s="367"/>
      <c r="D207" s="280"/>
      <c r="E207" s="280"/>
      <c r="G207" s="280">
        <f>SUM(D207:F207)</f>
        <v>0</v>
      </c>
    </row>
    <row r="208" spans="1:7">
      <c r="A208" s="486" t="s">
        <v>670</v>
      </c>
      <c r="B208" s="5" t="s">
        <v>122</v>
      </c>
      <c r="C208" s="369" t="s">
        <v>462</v>
      </c>
      <c r="D208" s="280">
        <v>18000</v>
      </c>
      <c r="E208" s="280"/>
      <c r="G208" s="280">
        <f>SUM(D208:F208)</f>
        <v>18000</v>
      </c>
    </row>
    <row r="209" spans="1:7">
      <c r="A209" s="486"/>
      <c r="C209" s="369"/>
      <c r="D209" s="280"/>
      <c r="E209" s="280"/>
      <c r="G209" s="280">
        <f>SUM(D209:F209)</f>
        <v>0</v>
      </c>
    </row>
    <row r="210" spans="1:7">
      <c r="A210" s="486" t="s">
        <v>670</v>
      </c>
      <c r="B210" s="5" t="s">
        <v>122</v>
      </c>
      <c r="C210" s="369" t="s">
        <v>463</v>
      </c>
      <c r="D210" s="280">
        <v>61400</v>
      </c>
      <c r="E210" s="280"/>
      <c r="G210" s="280">
        <f>SUM(D210:F210)</f>
        <v>61400</v>
      </c>
    </row>
    <row r="211" spans="1:7">
      <c r="A211" s="486"/>
      <c r="C211" s="369"/>
      <c r="D211" s="280"/>
      <c r="E211" s="280"/>
      <c r="G211" s="280">
        <f>SUM(D211:F211)</f>
        <v>0</v>
      </c>
    </row>
    <row r="212" spans="1:7">
      <c r="A212" s="486" t="s">
        <v>670</v>
      </c>
      <c r="B212" s="5" t="s">
        <v>122</v>
      </c>
      <c r="C212" s="362" t="s">
        <v>979</v>
      </c>
      <c r="D212" s="280"/>
      <c r="E212" s="280"/>
      <c r="F212" s="581">
        <v>5000</v>
      </c>
      <c r="G212" s="280">
        <f>SUM(D212:F212)</f>
        <v>5000</v>
      </c>
    </row>
    <row r="213" spans="1:7">
      <c r="A213" s="486"/>
      <c r="C213" s="362"/>
      <c r="D213" s="280"/>
      <c r="E213" s="280"/>
      <c r="F213" s="581"/>
      <c r="G213" s="280">
        <f>SUM(D213:F213)</f>
        <v>0</v>
      </c>
    </row>
    <row r="214" spans="1:7">
      <c r="A214" s="486" t="s">
        <v>670</v>
      </c>
      <c r="B214" s="5" t="s">
        <v>122</v>
      </c>
      <c r="C214" s="362" t="s">
        <v>957</v>
      </c>
      <c r="D214" s="280"/>
      <c r="E214" s="280"/>
      <c r="F214" s="581">
        <v>6500</v>
      </c>
      <c r="G214" s="280">
        <f>SUM(D214:F214)</f>
        <v>6500</v>
      </c>
    </row>
    <row r="215" spans="1:7">
      <c r="A215" s="486"/>
      <c r="C215" s="362"/>
      <c r="D215" s="280"/>
      <c r="E215" s="280"/>
      <c r="F215" s="581"/>
      <c r="G215" s="280">
        <f>SUM(D215:F215)</f>
        <v>0</v>
      </c>
    </row>
    <row r="216" spans="1:7">
      <c r="A216" s="486" t="s">
        <v>670</v>
      </c>
      <c r="B216" s="5" t="s">
        <v>122</v>
      </c>
      <c r="C216" s="362" t="s">
        <v>980</v>
      </c>
      <c r="D216" s="280"/>
      <c r="E216" s="280"/>
      <c r="F216" s="581">
        <v>20000</v>
      </c>
      <c r="G216" s="280">
        <f>SUM(D216:F216)</f>
        <v>20000</v>
      </c>
    </row>
    <row r="217" spans="1:7">
      <c r="A217" s="486"/>
      <c r="C217" s="369"/>
      <c r="D217" s="370"/>
      <c r="E217" s="370"/>
      <c r="G217" s="370">
        <f>SUM(D217:F217)</f>
        <v>0</v>
      </c>
    </row>
    <row r="218" spans="1:7" ht="25.5">
      <c r="A218" s="486" t="s">
        <v>670</v>
      </c>
      <c r="B218" s="5" t="s">
        <v>122</v>
      </c>
      <c r="C218" s="371" t="s">
        <v>797</v>
      </c>
      <c r="D218" s="280">
        <v>126208</v>
      </c>
      <c r="E218" s="280"/>
      <c r="G218" s="280">
        <f>SUM(D218:F218)</f>
        <v>126208</v>
      </c>
    </row>
    <row r="219" spans="1:7">
      <c r="A219" s="486"/>
      <c r="C219" s="171" t="s">
        <v>121</v>
      </c>
      <c r="D219" s="281">
        <v>86977</v>
      </c>
      <c r="E219" s="281"/>
      <c r="G219" s="281">
        <f>SUM(D219:F219)</f>
        <v>86977</v>
      </c>
    </row>
    <row r="220" spans="1:7">
      <c r="A220" s="486"/>
      <c r="C220" s="372"/>
      <c r="D220" s="373"/>
      <c r="E220" s="373"/>
      <c r="G220" s="373">
        <f>SUM(D220:F220)</f>
        <v>0</v>
      </c>
    </row>
    <row r="221" spans="1:7">
      <c r="A221" s="486"/>
      <c r="C221" s="172" t="s">
        <v>464</v>
      </c>
      <c r="D221" s="281">
        <v>126208</v>
      </c>
      <c r="E221" s="281"/>
      <c r="G221" s="281">
        <f>SUM(D221:F221)</f>
        <v>126208</v>
      </c>
    </row>
    <row r="222" spans="1:7">
      <c r="A222" s="486"/>
      <c r="C222" s="249"/>
      <c r="D222" s="321"/>
      <c r="E222" s="321"/>
      <c r="G222" s="281">
        <f>SUM(D222:F222)</f>
        <v>0</v>
      </c>
    </row>
    <row r="223" spans="1:7">
      <c r="A223" s="486"/>
      <c r="C223" s="477"/>
      <c r="D223" s="478"/>
      <c r="E223" s="478"/>
      <c r="G223" s="281">
        <f>SUM(D223:F223)</f>
        <v>0</v>
      </c>
    </row>
    <row r="224" spans="1:7" ht="15.75">
      <c r="A224" s="486"/>
      <c r="C224" s="184" t="s">
        <v>149</v>
      </c>
      <c r="D224" s="276"/>
      <c r="E224" s="276"/>
      <c r="G224" s="281">
        <f>SUM(D224:F224)</f>
        <v>0</v>
      </c>
    </row>
    <row r="225" spans="1:26" ht="15">
      <c r="A225" s="486"/>
      <c r="C225" s="185"/>
      <c r="D225" s="297"/>
      <c r="E225" s="297"/>
      <c r="G225" s="281">
        <f>SUM(D225:F225)</f>
        <v>0</v>
      </c>
    </row>
    <row r="226" spans="1:26">
      <c r="A226" s="486"/>
      <c r="C226" s="186" t="s">
        <v>240</v>
      </c>
      <c r="D226" s="277">
        <f>D234+D288</f>
        <v>19150341</v>
      </c>
      <c r="E226" s="277">
        <f>E234+E288</f>
        <v>24863</v>
      </c>
      <c r="F226" s="277">
        <f>F234+F288</f>
        <v>370304</v>
      </c>
      <c r="G226" s="277">
        <f>SUM(D226:F226)</f>
        <v>19545508</v>
      </c>
    </row>
    <row r="227" spans="1:26">
      <c r="A227" s="486"/>
      <c r="C227" s="187" t="s">
        <v>825</v>
      </c>
      <c r="D227" s="278">
        <v>2700000</v>
      </c>
      <c r="E227" s="278"/>
      <c r="F227" s="278"/>
      <c r="G227" s="278">
        <f>SUM(D227:F227)</f>
        <v>2700000</v>
      </c>
    </row>
    <row r="228" spans="1:26">
      <c r="A228" s="486"/>
      <c r="C228" s="188" t="s">
        <v>118</v>
      </c>
      <c r="D228" s="277">
        <f>SUM(D229:D231)</f>
        <v>19150341</v>
      </c>
      <c r="E228" s="277">
        <f>SUM(E229:E231)</f>
        <v>24863</v>
      </c>
      <c r="F228" s="277">
        <f>SUM(F229:F231)</f>
        <v>370304</v>
      </c>
      <c r="G228" s="277">
        <f>SUM(D228:F228)</f>
        <v>19545508</v>
      </c>
    </row>
    <row r="229" spans="1:26">
      <c r="A229" s="486"/>
      <c r="C229" s="189" t="s">
        <v>119</v>
      </c>
      <c r="D229" s="278">
        <f>'[3]2.2 OMATULUD'!B101</f>
        <v>4960000</v>
      </c>
      <c r="E229" s="278"/>
      <c r="F229" s="278">
        <f>'[3]2.2 OMATULUD'!D101</f>
        <v>345000</v>
      </c>
      <c r="G229" s="278">
        <f>SUM(D229:F229)</f>
        <v>5305000</v>
      </c>
    </row>
    <row r="230" spans="1:26" ht="12" customHeight="1">
      <c r="A230" s="486"/>
      <c r="C230" s="173" t="s">
        <v>106</v>
      </c>
      <c r="D230" s="278">
        <f>D343</f>
        <v>7443</v>
      </c>
      <c r="E230" s="278"/>
      <c r="F230" s="278">
        <f>F343</f>
        <v>0</v>
      </c>
      <c r="G230" s="278">
        <f>SUM(D230:F230)</f>
        <v>7443</v>
      </c>
    </row>
    <row r="231" spans="1:26">
      <c r="A231" s="486"/>
      <c r="C231" s="173" t="s">
        <v>120</v>
      </c>
      <c r="D231" s="278">
        <f>D226-D229-D230</f>
        <v>14182898</v>
      </c>
      <c r="E231" s="278">
        <f>E226-E229-E230</f>
        <v>24863</v>
      </c>
      <c r="F231" s="278">
        <f>F226-F229-F230</f>
        <v>25304</v>
      </c>
      <c r="G231" s="278">
        <f>SUM(D231:F231)</f>
        <v>14233065</v>
      </c>
    </row>
    <row r="232" spans="1:26" s="493" customFormat="1">
      <c r="C232" s="603" t="s">
        <v>884</v>
      </c>
      <c r="D232" s="494">
        <f>D236+D243+D250+D257+D264+D271+D278+D285+D291+D294+D341</f>
        <v>8450300</v>
      </c>
      <c r="E232" s="494">
        <f>E236+E243+E250+E257+E264+E271+E278+E285+E291+E294+E341</f>
        <v>18582</v>
      </c>
      <c r="F232" s="494">
        <f>F236+F243+F250+F257+F264+F271+F278+F285+F291+F294+F341</f>
        <v>67555</v>
      </c>
      <c r="G232" s="494">
        <f>SUM(D232:F232)</f>
        <v>8536437</v>
      </c>
      <c r="H232" s="495"/>
      <c r="I232" s="495"/>
      <c r="J232" s="495"/>
      <c r="K232" s="495"/>
      <c r="L232" s="495"/>
      <c r="M232" s="604"/>
      <c r="O232" s="495"/>
      <c r="P232" s="495"/>
      <c r="Q232" s="495"/>
      <c r="R232" s="604"/>
      <c r="T232" s="495"/>
      <c r="U232" s="495"/>
      <c r="V232" s="495"/>
      <c r="W232" s="604"/>
      <c r="Z232" s="103"/>
    </row>
    <row r="233" spans="1:26">
      <c r="A233" s="486"/>
      <c r="C233" s="96"/>
      <c r="D233" s="277"/>
      <c r="E233" s="277"/>
      <c r="G233" s="277">
        <f>SUM(D233:F233)</f>
        <v>0</v>
      </c>
    </row>
    <row r="234" spans="1:26" ht="15">
      <c r="A234" s="486" t="s">
        <v>671</v>
      </c>
      <c r="B234" s="5" t="s">
        <v>149</v>
      </c>
      <c r="C234" s="374" t="s">
        <v>245</v>
      </c>
      <c r="D234" s="298">
        <f>D235+D242+D249+D256+D263+D270+D277+D284</f>
        <v>15874336</v>
      </c>
      <c r="E234" s="298">
        <f>E235+E242+E249+E256+E263+E270+E277+E284</f>
        <v>0</v>
      </c>
      <c r="F234" s="298">
        <f>F235+F242+F249+F256+F263+F270+F277+F284</f>
        <v>157000</v>
      </c>
      <c r="G234" s="298">
        <f>SUM(D234:F234)</f>
        <v>16031336</v>
      </c>
    </row>
    <row r="235" spans="1:26">
      <c r="A235" s="486"/>
      <c r="C235" s="375" t="s">
        <v>465</v>
      </c>
      <c r="D235" s="285">
        <f>D239</f>
        <v>3341002</v>
      </c>
      <c r="E235" s="285">
        <f>E239</f>
        <v>0</v>
      </c>
      <c r="F235" s="285">
        <f>F239</f>
        <v>7000</v>
      </c>
      <c r="G235" s="285">
        <f>SUM(D235:F235)</f>
        <v>3348002</v>
      </c>
    </row>
    <row r="236" spans="1:26">
      <c r="A236" s="486"/>
      <c r="C236" s="182" t="s">
        <v>121</v>
      </c>
      <c r="D236" s="281">
        <f>D240</f>
        <v>1900019</v>
      </c>
      <c r="E236" s="281">
        <f>E240</f>
        <v>0</v>
      </c>
      <c r="F236" s="281">
        <f>F240</f>
        <v>1570</v>
      </c>
      <c r="G236" s="281">
        <f>SUM(D236:F236)</f>
        <v>1901589</v>
      </c>
    </row>
    <row r="237" spans="1:26">
      <c r="A237" s="486"/>
      <c r="C237" s="182"/>
      <c r="D237" s="281"/>
      <c r="E237" s="281"/>
      <c r="G237" s="281">
        <f>SUM(D237:F237)</f>
        <v>0</v>
      </c>
    </row>
    <row r="238" spans="1:26">
      <c r="A238" s="486"/>
      <c r="C238" s="609" t="s">
        <v>973</v>
      </c>
      <c r="D238" s="281"/>
      <c r="E238" s="281"/>
      <c r="G238" s="281">
        <f>SUM(D238:F238)</f>
        <v>0</v>
      </c>
    </row>
    <row r="239" spans="1:26">
      <c r="A239" s="486"/>
      <c r="C239" s="610" t="s">
        <v>981</v>
      </c>
      <c r="D239" s="282">
        <f>3318252+16100+6650</f>
        <v>3341002</v>
      </c>
      <c r="E239" s="281"/>
      <c r="F239" s="282">
        <v>7000</v>
      </c>
      <c r="G239" s="281">
        <f>SUM(D239:F239)</f>
        <v>3348002</v>
      </c>
    </row>
    <row r="240" spans="1:26">
      <c r="A240" s="486"/>
      <c r="C240" s="361" t="s">
        <v>121</v>
      </c>
      <c r="D240" s="281">
        <f>1883049+12000+4970</f>
        <v>1900019</v>
      </c>
      <c r="E240" s="281"/>
      <c r="F240" s="281">
        <v>1570</v>
      </c>
      <c r="G240" s="281">
        <f>SUM(D240:F240)</f>
        <v>1901589</v>
      </c>
    </row>
    <row r="241" spans="1:7">
      <c r="A241" s="486"/>
      <c r="C241" s="612"/>
      <c r="D241" s="289"/>
      <c r="E241" s="289"/>
      <c r="F241" s="289"/>
      <c r="G241" s="281">
        <f>SUM(D241:F241)</f>
        <v>0</v>
      </c>
    </row>
    <row r="242" spans="1:7" ht="24">
      <c r="A242" s="486"/>
      <c r="C242" s="376" t="s">
        <v>466</v>
      </c>
      <c r="D242" s="285">
        <f>810487+178155+8314</f>
        <v>996956</v>
      </c>
      <c r="E242" s="285"/>
      <c r="F242" s="285">
        <f>F246</f>
        <v>2000</v>
      </c>
      <c r="G242" s="285">
        <f>SUM(D242:F242)</f>
        <v>998956</v>
      </c>
    </row>
    <row r="243" spans="1:7">
      <c r="A243" s="486"/>
      <c r="C243" s="182" t="s">
        <v>121</v>
      </c>
      <c r="D243" s="281">
        <f>459905+111032+6213</f>
        <v>577150</v>
      </c>
      <c r="E243" s="281"/>
      <c r="F243" s="281"/>
      <c r="G243" s="281">
        <f>SUM(D243:F243)</f>
        <v>577150</v>
      </c>
    </row>
    <row r="244" spans="1:7">
      <c r="A244" s="486"/>
      <c r="C244" s="182"/>
      <c r="D244" s="281"/>
      <c r="E244" s="281"/>
      <c r="F244" s="281"/>
      <c r="G244" s="281">
        <f>SUM(D244:F244)</f>
        <v>0</v>
      </c>
    </row>
    <row r="245" spans="1:7">
      <c r="A245" s="486"/>
      <c r="C245" s="609" t="s">
        <v>973</v>
      </c>
      <c r="D245" s="281"/>
      <c r="E245" s="281"/>
      <c r="F245" s="281"/>
      <c r="G245" s="281">
        <f>SUM(D245:F245)</f>
        <v>0</v>
      </c>
    </row>
    <row r="246" spans="1:7">
      <c r="A246" s="486"/>
      <c r="C246" s="610" t="s">
        <v>982</v>
      </c>
      <c r="D246" s="282">
        <f>810487+178155+8314</f>
        <v>996956</v>
      </c>
      <c r="E246" s="281"/>
      <c r="F246" s="282">
        <v>2000</v>
      </c>
      <c r="G246" s="281">
        <f>SUM(D246:F246)</f>
        <v>998956</v>
      </c>
    </row>
    <row r="247" spans="1:7">
      <c r="A247" s="486"/>
      <c r="C247" s="361" t="s">
        <v>121</v>
      </c>
      <c r="D247" s="281">
        <f>459905+111032+6213</f>
        <v>577150</v>
      </c>
      <c r="E247" s="281"/>
      <c r="F247" s="281"/>
      <c r="G247" s="281">
        <f>SUM(D247:F247)</f>
        <v>577150</v>
      </c>
    </row>
    <row r="248" spans="1:7">
      <c r="A248" s="486"/>
      <c r="C248" s="191"/>
      <c r="D248" s="289"/>
      <c r="E248" s="289"/>
      <c r="G248" s="289">
        <f>SUM(D248:F248)</f>
        <v>0</v>
      </c>
    </row>
    <row r="249" spans="1:7">
      <c r="A249" s="486"/>
      <c r="C249" s="375" t="s">
        <v>467</v>
      </c>
      <c r="D249" s="285">
        <f>D253</f>
        <v>2479534</v>
      </c>
      <c r="E249" s="285">
        <f>E253</f>
        <v>0</v>
      </c>
      <c r="F249" s="285">
        <f>F253</f>
        <v>0</v>
      </c>
      <c r="G249" s="285">
        <f>SUM(D249:F249)</f>
        <v>2479534</v>
      </c>
    </row>
    <row r="250" spans="1:7">
      <c r="A250" s="486"/>
      <c r="C250" s="182" t="s">
        <v>121</v>
      </c>
      <c r="D250" s="281">
        <f>D254</f>
        <v>1260318</v>
      </c>
      <c r="E250" s="281">
        <f>E254</f>
        <v>0</v>
      </c>
      <c r="F250" s="281">
        <f>F254</f>
        <v>0</v>
      </c>
      <c r="G250" s="281">
        <f>SUM(D250:F250)</f>
        <v>1260318</v>
      </c>
    </row>
    <row r="251" spans="1:7">
      <c r="A251" s="486"/>
      <c r="C251" s="182"/>
      <c r="D251" s="281"/>
      <c r="E251" s="281"/>
      <c r="G251" s="281">
        <f>SUM(D251:F251)</f>
        <v>0</v>
      </c>
    </row>
    <row r="252" spans="1:7">
      <c r="A252" s="486"/>
      <c r="C252" s="609" t="s">
        <v>973</v>
      </c>
      <c r="D252" s="281"/>
      <c r="E252" s="281"/>
      <c r="G252" s="281">
        <f>SUM(D252:F252)</f>
        <v>0</v>
      </c>
    </row>
    <row r="253" spans="1:7">
      <c r="A253" s="486"/>
      <c r="C253" s="610" t="s">
        <v>983</v>
      </c>
      <c r="D253" s="282">
        <f>2442890+19561+17083</f>
        <v>2479534</v>
      </c>
      <c r="E253" s="282"/>
      <c r="F253" s="282"/>
      <c r="G253" s="282">
        <f>SUM(D253:F253)</f>
        <v>2479534</v>
      </c>
    </row>
    <row r="254" spans="1:7">
      <c r="A254" s="486"/>
      <c r="C254" s="361" t="s">
        <v>121</v>
      </c>
      <c r="D254" s="281">
        <f>1233061+14490+12767</f>
        <v>1260318</v>
      </c>
      <c r="E254" s="281"/>
      <c r="F254" s="281"/>
      <c r="G254" s="281">
        <f>SUM(D254:F254)</f>
        <v>1260318</v>
      </c>
    </row>
    <row r="255" spans="1:7">
      <c r="A255" s="486"/>
      <c r="C255" s="182"/>
      <c r="D255" s="281"/>
      <c r="E255" s="281"/>
      <c r="G255" s="281">
        <f>SUM(D255:F255)</f>
        <v>0</v>
      </c>
    </row>
    <row r="256" spans="1:7">
      <c r="A256" s="486"/>
      <c r="C256" s="375" t="s">
        <v>468</v>
      </c>
      <c r="D256" s="285">
        <f>D260</f>
        <v>182370</v>
      </c>
      <c r="E256" s="285">
        <f>E260</f>
        <v>0</v>
      </c>
      <c r="F256" s="285">
        <f>F260</f>
        <v>16000</v>
      </c>
      <c r="G256" s="285">
        <f>SUM(D256:F256)</f>
        <v>198370</v>
      </c>
    </row>
    <row r="257" spans="1:7">
      <c r="A257" s="486"/>
      <c r="C257" s="182" t="s">
        <v>121</v>
      </c>
      <c r="D257" s="281">
        <f>D261</f>
        <v>87620</v>
      </c>
      <c r="E257" s="281">
        <f>E261</f>
        <v>0</v>
      </c>
      <c r="F257" s="281">
        <f>F261</f>
        <v>0</v>
      </c>
      <c r="G257" s="281">
        <f>SUM(D257:F257)</f>
        <v>87620</v>
      </c>
    </row>
    <row r="258" spans="1:7">
      <c r="A258" s="486"/>
      <c r="C258" s="182"/>
      <c r="D258" s="281"/>
      <c r="E258" s="281"/>
      <c r="G258" s="281">
        <f>SUM(D258:F258)</f>
        <v>0</v>
      </c>
    </row>
    <row r="259" spans="1:7">
      <c r="A259" s="486"/>
      <c r="C259" s="609" t="s">
        <v>973</v>
      </c>
      <c r="D259" s="281"/>
      <c r="E259" s="281"/>
      <c r="G259" s="281">
        <f>SUM(D259:F259)</f>
        <v>0</v>
      </c>
    </row>
    <row r="260" spans="1:7">
      <c r="A260" s="486"/>
      <c r="C260" s="610" t="s">
        <v>984</v>
      </c>
      <c r="D260" s="282">
        <f>181829+541</f>
        <v>182370</v>
      </c>
      <c r="E260" s="281"/>
      <c r="F260" s="282">
        <v>16000</v>
      </c>
      <c r="G260" s="281">
        <f>SUM(D260:F260)</f>
        <v>198370</v>
      </c>
    </row>
    <row r="261" spans="1:7">
      <c r="A261" s="486"/>
      <c r="C261" s="361" t="s">
        <v>121</v>
      </c>
      <c r="D261" s="281">
        <f>87216+404</f>
        <v>87620</v>
      </c>
      <c r="E261" s="281"/>
      <c r="G261" s="281">
        <f>SUM(D261:F261)</f>
        <v>87620</v>
      </c>
    </row>
    <row r="262" spans="1:7">
      <c r="A262" s="486"/>
      <c r="C262" s="180"/>
      <c r="D262" s="210"/>
      <c r="E262" s="210"/>
      <c r="G262" s="281">
        <f>SUM(D262:F262)</f>
        <v>0</v>
      </c>
    </row>
    <row r="263" spans="1:7">
      <c r="A263" s="486"/>
      <c r="C263" s="375" t="s">
        <v>469</v>
      </c>
      <c r="D263" s="285">
        <f>D267</f>
        <v>5166439</v>
      </c>
      <c r="E263" s="285">
        <f>E267</f>
        <v>0</v>
      </c>
      <c r="F263" s="285">
        <f>F267</f>
        <v>37000</v>
      </c>
      <c r="G263" s="285">
        <f>SUM(D263:F263)</f>
        <v>5203439</v>
      </c>
    </row>
    <row r="264" spans="1:7">
      <c r="A264" s="486"/>
      <c r="C264" s="182" t="s">
        <v>121</v>
      </c>
      <c r="D264" s="281">
        <f>D268</f>
        <v>2374830</v>
      </c>
      <c r="E264" s="281">
        <f>E268</f>
        <v>0</v>
      </c>
      <c r="F264" s="281">
        <f>F268</f>
        <v>0</v>
      </c>
      <c r="G264" s="281">
        <f>SUM(D264:F264)</f>
        <v>2374830</v>
      </c>
    </row>
    <row r="265" spans="1:7">
      <c r="A265" s="486"/>
      <c r="C265" s="182"/>
      <c r="D265" s="281"/>
      <c r="E265" s="281"/>
      <c r="G265" s="281">
        <f>SUM(D265:F265)</f>
        <v>0</v>
      </c>
    </row>
    <row r="266" spans="1:7">
      <c r="A266" s="486"/>
      <c r="C266" s="609" t="s">
        <v>973</v>
      </c>
      <c r="D266" s="281"/>
      <c r="E266" s="281"/>
      <c r="G266" s="281">
        <f>SUM(D266:F266)</f>
        <v>0</v>
      </c>
    </row>
    <row r="267" spans="1:7">
      <c r="A267" s="486"/>
      <c r="C267" s="610" t="s">
        <v>985</v>
      </c>
      <c r="D267" s="282">
        <f>5100939+65500</f>
        <v>5166439</v>
      </c>
      <c r="E267" s="281"/>
      <c r="F267" s="282">
        <f>157000+13500-133000-500</f>
        <v>37000</v>
      </c>
      <c r="G267" s="282">
        <f>SUM(D267:F267)</f>
        <v>5203439</v>
      </c>
    </row>
    <row r="268" spans="1:7">
      <c r="A268" s="486"/>
      <c r="C268" s="361" t="s">
        <v>121</v>
      </c>
      <c r="D268" s="281">
        <f>2325878+48952</f>
        <v>2374830</v>
      </c>
      <c r="E268" s="281"/>
      <c r="F268" s="281"/>
      <c r="G268" s="281">
        <f>SUM(D268:F268)</f>
        <v>2374830</v>
      </c>
    </row>
    <row r="269" spans="1:7">
      <c r="A269" s="486"/>
      <c r="C269" s="192"/>
      <c r="D269" s="291"/>
      <c r="E269" s="291"/>
      <c r="G269" s="291">
        <f>SUM(D269:F269)</f>
        <v>0</v>
      </c>
    </row>
    <row r="270" spans="1:7">
      <c r="A270" s="486"/>
      <c r="C270" s="375" t="s">
        <v>470</v>
      </c>
      <c r="D270" s="285">
        <f>D274</f>
        <v>2276752</v>
      </c>
      <c r="E270" s="285">
        <f>E274</f>
        <v>0</v>
      </c>
      <c r="F270" s="285">
        <f>F274</f>
        <v>105000</v>
      </c>
      <c r="G270" s="285">
        <f>SUM(D270:F270)</f>
        <v>2381752</v>
      </c>
    </row>
    <row r="271" spans="1:7">
      <c r="A271" s="486"/>
      <c r="C271" s="182" t="s">
        <v>121</v>
      </c>
      <c r="D271" s="281">
        <f>D275</f>
        <v>970433</v>
      </c>
      <c r="E271" s="281">
        <f>E275</f>
        <v>0</v>
      </c>
      <c r="F271" s="281">
        <f>F275</f>
        <v>68000</v>
      </c>
      <c r="G271" s="281">
        <f>SUM(D271:F271)</f>
        <v>1038433</v>
      </c>
    </row>
    <row r="272" spans="1:7">
      <c r="A272" s="486"/>
      <c r="C272" s="182"/>
      <c r="D272" s="281"/>
      <c r="E272" s="281"/>
      <c r="G272" s="281">
        <f>SUM(D272:F272)</f>
        <v>0</v>
      </c>
    </row>
    <row r="273" spans="1:7">
      <c r="A273" s="486"/>
      <c r="C273" s="609" t="s">
        <v>973</v>
      </c>
      <c r="D273" s="281"/>
      <c r="E273" s="281"/>
      <c r="G273" s="281">
        <f>SUM(D273:F273)</f>
        <v>0</v>
      </c>
    </row>
    <row r="274" spans="1:7">
      <c r="A274" s="486"/>
      <c r="C274" s="610" t="s">
        <v>986</v>
      </c>
      <c r="D274" s="282">
        <f>2265992+10760</f>
        <v>2276752</v>
      </c>
      <c r="E274" s="282"/>
      <c r="F274" s="282">
        <v>105000</v>
      </c>
      <c r="G274" s="281">
        <f>SUM(D274:F274)</f>
        <v>2381752</v>
      </c>
    </row>
    <row r="275" spans="1:7">
      <c r="A275" s="486"/>
      <c r="C275" s="361" t="s">
        <v>121</v>
      </c>
      <c r="D275" s="281">
        <f>962392+8041</f>
        <v>970433</v>
      </c>
      <c r="E275" s="281"/>
      <c r="F275" s="281">
        <v>68000</v>
      </c>
      <c r="G275" s="281">
        <f>SUM(D275:F275)</f>
        <v>1038433</v>
      </c>
    </row>
    <row r="276" spans="1:7">
      <c r="A276" s="486"/>
      <c r="C276" s="192"/>
      <c r="D276" s="294"/>
      <c r="E276" s="294"/>
      <c r="G276" s="294">
        <f>SUM(D276:F276)</f>
        <v>0</v>
      </c>
    </row>
    <row r="277" spans="1:7">
      <c r="A277" s="486"/>
      <c r="C277" s="375" t="s">
        <v>471</v>
      </c>
      <c r="D277" s="285">
        <f>D281</f>
        <v>1061574</v>
      </c>
      <c r="E277" s="285">
        <f>E281</f>
        <v>0</v>
      </c>
      <c r="F277" s="285">
        <f>F281</f>
        <v>-10000</v>
      </c>
      <c r="G277" s="285">
        <f>SUM(D277:F277)</f>
        <v>1051574</v>
      </c>
    </row>
    <row r="278" spans="1:7">
      <c r="A278" s="486"/>
      <c r="C278" s="182" t="s">
        <v>121</v>
      </c>
      <c r="D278" s="281">
        <f>D282</f>
        <v>619705</v>
      </c>
      <c r="E278" s="281">
        <f>E282</f>
        <v>0</v>
      </c>
      <c r="F278" s="281">
        <f>F282</f>
        <v>0</v>
      </c>
      <c r="G278" s="281">
        <f>SUM(D278:F278)</f>
        <v>619705</v>
      </c>
    </row>
    <row r="279" spans="1:7">
      <c r="A279" s="486"/>
      <c r="C279" s="182"/>
      <c r="D279" s="281"/>
      <c r="E279" s="281"/>
      <c r="F279" s="281"/>
      <c r="G279" s="281">
        <f>SUM(D279:F279)</f>
        <v>0</v>
      </c>
    </row>
    <row r="280" spans="1:7">
      <c r="A280" s="486"/>
      <c r="C280" s="609" t="s">
        <v>973</v>
      </c>
      <c r="D280" s="281"/>
      <c r="E280" s="281"/>
      <c r="F280" s="281"/>
      <c r="G280" s="281">
        <f>SUM(D280:F280)</f>
        <v>0</v>
      </c>
    </row>
    <row r="281" spans="1:7">
      <c r="A281" s="486"/>
      <c r="C281" s="610" t="s">
        <v>987</v>
      </c>
      <c r="D281" s="282">
        <f>1053272+8302</f>
        <v>1061574</v>
      </c>
      <c r="E281" s="281"/>
      <c r="F281" s="282">
        <v>-10000</v>
      </c>
      <c r="G281" s="281">
        <f>SUM(D281:F281)</f>
        <v>1051574</v>
      </c>
    </row>
    <row r="282" spans="1:7">
      <c r="A282" s="486"/>
      <c r="C282" s="361" t="s">
        <v>121</v>
      </c>
      <c r="D282" s="281">
        <f>613501+6204</f>
        <v>619705</v>
      </c>
      <c r="E282" s="281"/>
      <c r="F282" s="281"/>
      <c r="G282" s="281">
        <f>SUM(D282:F282)</f>
        <v>619705</v>
      </c>
    </row>
    <row r="283" spans="1:7">
      <c r="A283" s="486"/>
      <c r="C283" s="377"/>
      <c r="D283" s="378"/>
      <c r="E283" s="378"/>
      <c r="G283" s="378">
        <f>SUM(D283:F283)</f>
        <v>0</v>
      </c>
    </row>
    <row r="284" spans="1:7">
      <c r="A284" s="486"/>
      <c r="C284" s="375" t="s">
        <v>472</v>
      </c>
      <c r="D284" s="285">
        <f>368859+850</f>
        <v>369709</v>
      </c>
      <c r="E284" s="285"/>
      <c r="G284" s="285">
        <f>SUM(D284:F284)</f>
        <v>369709</v>
      </c>
    </row>
    <row r="285" spans="1:7">
      <c r="A285" s="486"/>
      <c r="C285" s="182" t="s">
        <v>121</v>
      </c>
      <c r="D285" s="281">
        <f>176378+635</f>
        <v>177013</v>
      </c>
      <c r="E285" s="281"/>
      <c r="G285" s="281">
        <f>SUM(D285:F285)</f>
        <v>177013</v>
      </c>
    </row>
    <row r="286" spans="1:7">
      <c r="A286" s="486"/>
      <c r="C286" s="191"/>
      <c r="D286" s="283"/>
      <c r="E286" s="283"/>
      <c r="G286" s="283">
        <f>SUM(D286:F286)</f>
        <v>0</v>
      </c>
    </row>
    <row r="287" spans="1:7">
      <c r="A287" s="486"/>
      <c r="C287" s="380"/>
      <c r="D287" s="378"/>
      <c r="E287" s="378"/>
      <c r="G287" s="378">
        <f>SUM(D287:F287)</f>
        <v>0</v>
      </c>
    </row>
    <row r="288" spans="1:7">
      <c r="A288" s="486"/>
      <c r="C288" s="186" t="s">
        <v>244</v>
      </c>
      <c r="D288" s="285">
        <f>D290+D293+D313+D332+D334+D336+D338+D340</f>
        <v>3276005</v>
      </c>
      <c r="E288" s="285">
        <f>E290+E293+E313+E332+E334+E336+E338+E340</f>
        <v>24863</v>
      </c>
      <c r="F288" s="285">
        <f>F290+F293+F313+F332+F334+F336+F338+F340</f>
        <v>213304</v>
      </c>
      <c r="G288" s="285">
        <f>SUM(D288:F288)</f>
        <v>3514172</v>
      </c>
    </row>
    <row r="289" spans="1:7">
      <c r="A289" s="486"/>
      <c r="C289" s="186"/>
      <c r="D289" s="368"/>
      <c r="E289" s="368"/>
      <c r="G289" s="368">
        <f>SUM(D289:F289)</f>
        <v>0</v>
      </c>
    </row>
    <row r="290" spans="1:7">
      <c r="A290" s="486" t="s">
        <v>671</v>
      </c>
      <c r="B290" s="5" t="s">
        <v>149</v>
      </c>
      <c r="C290" s="193" t="s">
        <v>473</v>
      </c>
      <c r="D290" s="282">
        <v>709596</v>
      </c>
      <c r="E290" s="282">
        <v>24863</v>
      </c>
      <c r="F290" s="282">
        <v>-2696</v>
      </c>
      <c r="G290" s="282">
        <f>SUM(D290:F290)</f>
        <v>731763</v>
      </c>
    </row>
    <row r="291" spans="1:7">
      <c r="A291" s="486"/>
      <c r="C291" s="171" t="s">
        <v>121</v>
      </c>
      <c r="D291" s="281">
        <v>384388</v>
      </c>
      <c r="E291" s="281">
        <v>18582</v>
      </c>
      <c r="F291" s="281">
        <v>-2015</v>
      </c>
      <c r="G291" s="281">
        <f>SUM(D291:F291)</f>
        <v>400955</v>
      </c>
    </row>
    <row r="292" spans="1:7">
      <c r="A292" s="486"/>
      <c r="C292" s="144"/>
      <c r="D292" s="295"/>
      <c r="E292" s="295"/>
      <c r="G292" s="295">
        <f>SUM(D292:F292)</f>
        <v>0</v>
      </c>
    </row>
    <row r="293" spans="1:7">
      <c r="A293" s="486" t="s">
        <v>671</v>
      </c>
      <c r="B293" s="5" t="s">
        <v>149</v>
      </c>
      <c r="C293" s="193" t="s">
        <v>474</v>
      </c>
      <c r="D293" s="282">
        <f>1377200+30000</f>
        <v>1407200</v>
      </c>
      <c r="E293" s="282"/>
      <c r="F293" s="282">
        <v>175000</v>
      </c>
      <c r="G293" s="282">
        <f>SUM(D293:F293)</f>
        <v>1582200</v>
      </c>
    </row>
    <row r="294" spans="1:7">
      <c r="A294" s="486"/>
      <c r="C294" s="171" t="s">
        <v>121</v>
      </c>
      <c r="D294" s="281">
        <v>93000</v>
      </c>
      <c r="E294" s="281"/>
      <c r="F294" s="281"/>
      <c r="G294" s="281">
        <f>SUM(D294:F294)</f>
        <v>93000</v>
      </c>
    </row>
    <row r="295" spans="1:7">
      <c r="A295" s="486"/>
      <c r="C295" s="171" t="s">
        <v>475</v>
      </c>
      <c r="D295" s="381"/>
      <c r="E295" s="381"/>
      <c r="F295" s="381"/>
      <c r="G295" s="381">
        <f>SUM(D295:F295)</f>
        <v>0</v>
      </c>
    </row>
    <row r="296" spans="1:7">
      <c r="A296" s="486"/>
      <c r="C296" s="192" t="s">
        <v>476</v>
      </c>
      <c r="D296" s="429">
        <v>60000</v>
      </c>
      <c r="E296" s="429"/>
      <c r="F296" s="429">
        <v>11800</v>
      </c>
      <c r="G296" s="429">
        <f>SUM(D296:F296)</f>
        <v>71800</v>
      </c>
    </row>
    <row r="297" spans="1:7">
      <c r="A297" s="486"/>
      <c r="C297" s="192" t="s">
        <v>988</v>
      </c>
      <c r="D297" s="429">
        <f>60000+30000</f>
        <v>90000</v>
      </c>
      <c r="E297" s="429"/>
      <c r="F297" s="429"/>
      <c r="G297" s="429">
        <f>SUM(D297:F297)</f>
        <v>90000</v>
      </c>
    </row>
    <row r="298" spans="1:7">
      <c r="A298" s="486"/>
      <c r="C298" s="192" t="s">
        <v>477</v>
      </c>
      <c r="D298" s="429">
        <v>50000</v>
      </c>
      <c r="E298" s="429"/>
      <c r="F298" s="429"/>
      <c r="G298" s="429">
        <f>SUM(D298:F298)</f>
        <v>50000</v>
      </c>
    </row>
    <row r="299" spans="1:7">
      <c r="A299" s="486"/>
      <c r="C299" s="192" t="s">
        <v>478</v>
      </c>
      <c r="D299" s="429">
        <v>12800</v>
      </c>
      <c r="E299" s="429"/>
      <c r="F299" s="429">
        <v>1200</v>
      </c>
      <c r="G299" s="429">
        <f>SUM(D299:F299)</f>
        <v>14000</v>
      </c>
    </row>
    <row r="300" spans="1:7">
      <c r="A300" s="486"/>
      <c r="C300" s="192" t="s">
        <v>479</v>
      </c>
      <c r="D300" s="429">
        <v>242000</v>
      </c>
      <c r="E300" s="429"/>
      <c r="F300" s="429">
        <v>50000</v>
      </c>
      <c r="G300" s="429">
        <f>SUM(D300:F300)</f>
        <v>292000</v>
      </c>
    </row>
    <row r="301" spans="1:7">
      <c r="A301" s="486"/>
      <c r="C301" s="192" t="s">
        <v>480</v>
      </c>
      <c r="D301" s="429">
        <v>615000</v>
      </c>
      <c r="E301" s="429"/>
      <c r="F301" s="429">
        <v>27000</v>
      </c>
      <c r="G301" s="429">
        <f>SUM(D301:F301)</f>
        <v>642000</v>
      </c>
    </row>
    <row r="302" spans="1:7">
      <c r="A302" s="486"/>
      <c r="C302" s="192" t="s">
        <v>481</v>
      </c>
      <c r="D302" s="429">
        <v>20000</v>
      </c>
      <c r="E302" s="429"/>
      <c r="F302" s="429"/>
      <c r="G302" s="429">
        <f>SUM(D302:F302)</f>
        <v>20000</v>
      </c>
    </row>
    <row r="303" spans="1:7">
      <c r="A303" s="486"/>
      <c r="C303" s="192" t="s">
        <v>482</v>
      </c>
      <c r="D303" s="429">
        <v>50000</v>
      </c>
      <c r="E303" s="429"/>
      <c r="F303" s="429"/>
      <c r="G303" s="429">
        <f>SUM(D303:F303)</f>
        <v>50000</v>
      </c>
    </row>
    <row r="304" spans="1:7">
      <c r="A304" s="486"/>
      <c r="C304" s="192" t="s">
        <v>483</v>
      </c>
      <c r="D304" s="429">
        <v>30000</v>
      </c>
      <c r="E304" s="429"/>
      <c r="F304" s="429"/>
      <c r="G304" s="429">
        <f>SUM(D304:F304)</f>
        <v>30000</v>
      </c>
    </row>
    <row r="305" spans="1:7">
      <c r="A305" s="486"/>
      <c r="C305" s="192" t="s">
        <v>989</v>
      </c>
      <c r="D305" s="429">
        <v>35000</v>
      </c>
      <c r="E305" s="429"/>
      <c r="F305" s="429"/>
      <c r="G305" s="429">
        <f>SUM(D305:F305)</f>
        <v>35000</v>
      </c>
    </row>
    <row r="306" spans="1:7">
      <c r="A306" s="486"/>
      <c r="C306" s="192" t="s">
        <v>484</v>
      </c>
      <c r="D306" s="429">
        <v>6000</v>
      </c>
      <c r="E306" s="429"/>
      <c r="F306" s="429"/>
      <c r="G306" s="429">
        <f>SUM(D306:F306)</f>
        <v>6000</v>
      </c>
    </row>
    <row r="307" spans="1:7">
      <c r="A307" s="486"/>
      <c r="C307" s="192" t="s">
        <v>485</v>
      </c>
      <c r="D307" s="429">
        <v>6000</v>
      </c>
      <c r="E307" s="429"/>
      <c r="F307" s="429"/>
      <c r="G307" s="429">
        <f>SUM(D307:F307)</f>
        <v>6000</v>
      </c>
    </row>
    <row r="308" spans="1:7">
      <c r="A308" s="486"/>
      <c r="C308" s="192" t="s">
        <v>486</v>
      </c>
      <c r="D308" s="429">
        <v>100000</v>
      </c>
      <c r="E308" s="429"/>
      <c r="F308" s="429">
        <v>12000</v>
      </c>
      <c r="G308" s="429">
        <f>SUM(D308:F308)</f>
        <v>112000</v>
      </c>
    </row>
    <row r="309" spans="1:7">
      <c r="A309" s="486"/>
      <c r="C309" s="192" t="s">
        <v>990</v>
      </c>
      <c r="D309" s="429"/>
      <c r="E309" s="429"/>
      <c r="F309" s="429">
        <v>80000</v>
      </c>
      <c r="G309" s="429">
        <f>SUM(D309:F309)</f>
        <v>80000</v>
      </c>
    </row>
    <row r="310" spans="1:7">
      <c r="A310" s="486"/>
      <c r="C310" s="192"/>
      <c r="D310" s="429"/>
      <c r="E310" s="429"/>
      <c r="G310" s="429">
        <f>SUM(D310:F310)</f>
        <v>0</v>
      </c>
    </row>
    <row r="311" spans="1:7" ht="12.6" customHeight="1">
      <c r="A311" s="486"/>
      <c r="C311" s="382" t="s">
        <v>487</v>
      </c>
      <c r="D311" s="378"/>
      <c r="E311" s="378"/>
      <c r="G311" s="378">
        <f>SUM(D311:F311)</f>
        <v>0</v>
      </c>
    </row>
    <row r="312" spans="1:7">
      <c r="A312" s="486"/>
      <c r="C312" s="383"/>
      <c r="D312" s="368"/>
      <c r="E312" s="368"/>
      <c r="G312" s="368">
        <f>SUM(D312:F312)</f>
        <v>0</v>
      </c>
    </row>
    <row r="313" spans="1:7">
      <c r="A313" s="486" t="s">
        <v>671</v>
      </c>
      <c r="B313" s="5" t="s">
        <v>149</v>
      </c>
      <c r="C313" s="193" t="s">
        <v>488</v>
      </c>
      <c r="D313" s="282">
        <f>839525+25000+5000</f>
        <v>869525</v>
      </c>
      <c r="E313" s="282"/>
      <c r="F313" s="282">
        <v>41000</v>
      </c>
      <c r="G313" s="282">
        <f>SUM(D313:F313)</f>
        <v>910525</v>
      </c>
    </row>
    <row r="314" spans="1:7">
      <c r="A314" s="486"/>
      <c r="C314" s="384" t="s">
        <v>991</v>
      </c>
      <c r="D314" s="289">
        <f>25000+25000</f>
        <v>50000</v>
      </c>
      <c r="E314" s="289"/>
      <c r="G314" s="289">
        <f>SUM(D314:F314)</f>
        <v>50000</v>
      </c>
    </row>
    <row r="315" spans="1:7">
      <c r="A315" s="486"/>
      <c r="C315" s="412" t="s">
        <v>489</v>
      </c>
      <c r="D315" s="288">
        <v>12000</v>
      </c>
      <c r="E315" s="288"/>
      <c r="G315" s="288">
        <f>SUM(D315:F315)</f>
        <v>12000</v>
      </c>
    </row>
    <row r="316" spans="1:7">
      <c r="A316" s="486"/>
      <c r="C316" s="194" t="s">
        <v>490</v>
      </c>
      <c r="D316" s="289">
        <v>57000</v>
      </c>
      <c r="E316" s="289"/>
      <c r="G316" s="289">
        <f>SUM(D316:F316)</f>
        <v>57000</v>
      </c>
    </row>
    <row r="317" spans="1:7">
      <c r="A317" s="486"/>
      <c r="C317" s="194" t="s">
        <v>806</v>
      </c>
      <c r="D317" s="289">
        <v>10000</v>
      </c>
      <c r="E317" s="289"/>
      <c r="G317" s="289">
        <f>SUM(D317:F317)</f>
        <v>10000</v>
      </c>
    </row>
    <row r="318" spans="1:7">
      <c r="A318" s="486"/>
      <c r="C318" s="194" t="s">
        <v>491</v>
      </c>
      <c r="D318" s="289">
        <v>23000</v>
      </c>
      <c r="E318" s="289"/>
      <c r="G318" s="289">
        <f>SUM(D318:F318)</f>
        <v>23000</v>
      </c>
    </row>
    <row r="319" spans="1:7">
      <c r="A319" s="486"/>
      <c r="C319" s="194" t="s">
        <v>834</v>
      </c>
      <c r="D319" s="289">
        <v>51000</v>
      </c>
      <c r="E319" s="289"/>
      <c r="G319" s="289">
        <f>SUM(D319:F319)</f>
        <v>51000</v>
      </c>
    </row>
    <row r="320" spans="1:7">
      <c r="A320" s="486"/>
      <c r="C320" s="194" t="s">
        <v>492</v>
      </c>
      <c r="D320" s="289">
        <v>10000</v>
      </c>
      <c r="E320" s="289"/>
      <c r="G320" s="289">
        <f>SUM(D320:F320)</f>
        <v>10000</v>
      </c>
    </row>
    <row r="321" spans="1:7">
      <c r="A321" s="486"/>
      <c r="C321" s="194" t="s">
        <v>493</v>
      </c>
      <c r="D321" s="289">
        <v>40000</v>
      </c>
      <c r="E321" s="289"/>
      <c r="G321" s="289">
        <f>SUM(D321:F321)</f>
        <v>40000</v>
      </c>
    </row>
    <row r="322" spans="1:7">
      <c r="A322" s="486"/>
      <c r="C322" s="194" t="s">
        <v>494</v>
      </c>
      <c r="D322" s="289">
        <v>150000</v>
      </c>
      <c r="E322" s="289"/>
      <c r="G322" s="289">
        <f>SUM(D322:F322)</f>
        <v>150000</v>
      </c>
    </row>
    <row r="323" spans="1:7">
      <c r="A323" s="486"/>
      <c r="C323" s="385" t="s">
        <v>495</v>
      </c>
      <c r="D323" s="288">
        <v>130000</v>
      </c>
      <c r="E323" s="288"/>
      <c r="G323" s="288">
        <f>SUM(D323:F323)</f>
        <v>130000</v>
      </c>
    </row>
    <row r="324" spans="1:7">
      <c r="A324" s="486"/>
      <c r="C324" s="194" t="s">
        <v>496</v>
      </c>
      <c r="D324" s="289">
        <v>15000</v>
      </c>
      <c r="E324" s="289"/>
      <c r="G324" s="289">
        <f>SUM(D324:F324)</f>
        <v>15000</v>
      </c>
    </row>
    <row r="325" spans="1:7">
      <c r="A325" s="486"/>
      <c r="C325" s="194" t="s">
        <v>497</v>
      </c>
      <c r="D325" s="289">
        <v>50000</v>
      </c>
      <c r="E325" s="289"/>
      <c r="G325" s="289">
        <f>SUM(D325:F325)</f>
        <v>50000</v>
      </c>
    </row>
    <row r="326" spans="1:7">
      <c r="A326" s="486"/>
      <c r="C326" s="194" t="s">
        <v>798</v>
      </c>
      <c r="D326" s="289">
        <v>17000</v>
      </c>
      <c r="E326" s="289"/>
      <c r="G326" s="289">
        <f>SUM(D326:F326)</f>
        <v>17000</v>
      </c>
    </row>
    <row r="327" spans="1:7">
      <c r="A327" s="486"/>
      <c r="C327" s="194" t="s">
        <v>793</v>
      </c>
      <c r="D327" s="289">
        <v>5000</v>
      </c>
      <c r="E327" s="289"/>
      <c r="G327" s="289">
        <f>SUM(D327:F327)</f>
        <v>5000</v>
      </c>
    </row>
    <row r="328" spans="1:7">
      <c r="A328" s="486"/>
      <c r="C328" s="194" t="s">
        <v>960</v>
      </c>
      <c r="D328" s="289"/>
      <c r="E328" s="289"/>
      <c r="F328" s="615">
        <v>25000</v>
      </c>
      <c r="G328" s="289">
        <f>SUM(D328:F328)</f>
        <v>25000</v>
      </c>
    </row>
    <row r="329" spans="1:7">
      <c r="A329" s="486"/>
      <c r="C329" s="194" t="s">
        <v>992</v>
      </c>
      <c r="D329" s="289"/>
      <c r="E329" s="289"/>
      <c r="F329" s="615">
        <v>5000</v>
      </c>
      <c r="G329" s="289">
        <f>SUM(D329:F329)</f>
        <v>5000</v>
      </c>
    </row>
    <row r="330" spans="1:7">
      <c r="A330" s="486"/>
      <c r="C330" s="194" t="s">
        <v>959</v>
      </c>
      <c r="D330" s="289"/>
      <c r="E330" s="289"/>
      <c r="F330" s="615">
        <v>11000</v>
      </c>
      <c r="G330" s="289">
        <f>SUM(D330:F330)</f>
        <v>11000</v>
      </c>
    </row>
    <row r="331" spans="1:7">
      <c r="A331" s="486"/>
      <c r="C331" s="194"/>
      <c r="D331" s="368"/>
      <c r="E331" s="368"/>
      <c r="G331" s="368">
        <f>SUM(D331:F331)</f>
        <v>0</v>
      </c>
    </row>
    <row r="332" spans="1:7">
      <c r="A332" s="486" t="s">
        <v>671</v>
      </c>
      <c r="B332" s="5" t="s">
        <v>320</v>
      </c>
      <c r="C332" s="193" t="s">
        <v>345</v>
      </c>
      <c r="D332" s="282">
        <v>250000</v>
      </c>
      <c r="E332" s="282"/>
      <c r="G332" s="282">
        <f>SUM(D332:F332)</f>
        <v>250000</v>
      </c>
    </row>
    <row r="333" spans="1:7">
      <c r="A333" s="486"/>
      <c r="C333" s="194"/>
      <c r="D333" s="282"/>
      <c r="E333" s="282"/>
      <c r="G333" s="282">
        <f>SUM(D333:F333)</f>
        <v>0</v>
      </c>
    </row>
    <row r="334" spans="1:7">
      <c r="A334" s="486" t="s">
        <v>671</v>
      </c>
      <c r="B334" s="5" t="s">
        <v>149</v>
      </c>
      <c r="C334" s="193" t="s">
        <v>498</v>
      </c>
      <c r="D334" s="282">
        <v>25500</v>
      </c>
      <c r="E334" s="282"/>
      <c r="G334" s="282">
        <f>SUM(D334:F334)</f>
        <v>25500</v>
      </c>
    </row>
    <row r="335" spans="1:7">
      <c r="A335" s="486"/>
      <c r="C335" s="193"/>
      <c r="D335" s="282"/>
      <c r="E335" s="282"/>
      <c r="G335" s="282">
        <f>SUM(D335:F335)</f>
        <v>0</v>
      </c>
    </row>
    <row r="336" spans="1:7">
      <c r="A336" s="486" t="s">
        <v>671</v>
      </c>
      <c r="B336" s="5" t="s">
        <v>149</v>
      </c>
      <c r="C336" s="193" t="s">
        <v>499</v>
      </c>
      <c r="D336" s="282">
        <v>1000</v>
      </c>
      <c r="E336" s="282"/>
      <c r="G336" s="282">
        <f>SUM(D336:F336)</f>
        <v>1000</v>
      </c>
    </row>
    <row r="337" spans="1:7">
      <c r="A337" s="486"/>
      <c r="C337" s="193"/>
      <c r="D337" s="282"/>
      <c r="E337" s="282"/>
      <c r="G337" s="282">
        <f>SUM(D337:F337)</f>
        <v>0</v>
      </c>
    </row>
    <row r="338" spans="1:7">
      <c r="A338" s="486" t="s">
        <v>671</v>
      </c>
      <c r="B338" s="5" t="s">
        <v>149</v>
      </c>
      <c r="C338" s="193" t="s">
        <v>500</v>
      </c>
      <c r="D338" s="282">
        <v>4430</v>
      </c>
      <c r="E338" s="282"/>
      <c r="G338" s="282">
        <f>SUM(D338:F338)</f>
        <v>4430</v>
      </c>
    </row>
    <row r="339" spans="1:7">
      <c r="A339" s="486"/>
      <c r="C339" s="193"/>
      <c r="D339" s="282"/>
      <c r="E339" s="282"/>
      <c r="G339" s="282">
        <f>SUM(D339:F339)</f>
        <v>0</v>
      </c>
    </row>
    <row r="340" spans="1:7" ht="38.25">
      <c r="A340" s="486" t="s">
        <v>671</v>
      </c>
      <c r="B340" s="5" t="s">
        <v>149</v>
      </c>
      <c r="C340" s="386" t="s">
        <v>807</v>
      </c>
      <c r="D340" s="282">
        <v>8754</v>
      </c>
      <c r="E340" s="282"/>
      <c r="G340" s="282">
        <f>SUM(D340:F340)</f>
        <v>8754</v>
      </c>
    </row>
    <row r="341" spans="1:7">
      <c r="A341" s="486"/>
      <c r="C341" s="171" t="s">
        <v>121</v>
      </c>
      <c r="D341" s="281">
        <v>5824</v>
      </c>
      <c r="E341" s="281"/>
      <c r="G341" s="281">
        <f>SUM(D341:F341)</f>
        <v>5824</v>
      </c>
    </row>
    <row r="342" spans="1:7">
      <c r="A342" s="486"/>
      <c r="C342" s="372"/>
      <c r="D342" s="281"/>
      <c r="E342" s="281"/>
      <c r="G342" s="281">
        <f>SUM(D342:F342)</f>
        <v>0</v>
      </c>
    </row>
    <row r="343" spans="1:7">
      <c r="A343" s="486"/>
      <c r="C343" s="172" t="s">
        <v>464</v>
      </c>
      <c r="D343" s="281">
        <v>7443</v>
      </c>
      <c r="E343" s="281"/>
      <c r="G343" s="281">
        <f>SUM(D343:F343)</f>
        <v>7443</v>
      </c>
    </row>
    <row r="344" spans="1:7">
      <c r="A344" s="486"/>
      <c r="C344" s="173"/>
      <c r="D344" s="278"/>
      <c r="E344" s="278"/>
      <c r="G344" s="281">
        <f>SUM(D344:F344)</f>
        <v>0</v>
      </c>
    </row>
    <row r="345" spans="1:7">
      <c r="A345" s="486"/>
      <c r="C345" s="616"/>
      <c r="D345" s="617"/>
      <c r="E345" s="617"/>
      <c r="G345" s="281">
        <f>SUM(D345:F345)</f>
        <v>0</v>
      </c>
    </row>
    <row r="346" spans="1:7" ht="15.75">
      <c r="A346" s="486"/>
      <c r="C346" s="184" t="s">
        <v>246</v>
      </c>
      <c r="D346" s="276"/>
      <c r="E346" s="276"/>
      <c r="G346" s="281">
        <f>SUM(D346:F346)</f>
        <v>0</v>
      </c>
    </row>
    <row r="347" spans="1:7">
      <c r="A347" s="486"/>
      <c r="C347" s="186"/>
      <c r="D347" s="277"/>
      <c r="E347" s="277"/>
      <c r="G347" s="281">
        <f>SUM(D347:F347)</f>
        <v>0</v>
      </c>
    </row>
    <row r="348" spans="1:7">
      <c r="A348" s="486"/>
      <c r="C348" s="186" t="s">
        <v>240</v>
      </c>
      <c r="D348" s="277">
        <f>D355+D393+D402</f>
        <v>18624400</v>
      </c>
      <c r="E348" s="277">
        <f>E355+E393+E402</f>
        <v>26273</v>
      </c>
      <c r="F348" s="277">
        <f>F355+F393+F402</f>
        <v>508795</v>
      </c>
      <c r="G348" s="277">
        <f>SUM(D348:F348)</f>
        <v>19159468</v>
      </c>
    </row>
    <row r="349" spans="1:7">
      <c r="A349" s="486"/>
      <c r="C349" s="187" t="s">
        <v>825</v>
      </c>
      <c r="D349" s="278">
        <v>2758244</v>
      </c>
      <c r="E349" s="278"/>
      <c r="F349" s="618">
        <v>882356</v>
      </c>
      <c r="G349" s="278">
        <f>SUM(D349:F349)</f>
        <v>3640600</v>
      </c>
    </row>
    <row r="350" spans="1:7">
      <c r="A350" s="486"/>
      <c r="C350" s="197" t="s">
        <v>118</v>
      </c>
      <c r="D350" s="279">
        <f>D351+D352</f>
        <v>18624400</v>
      </c>
      <c r="E350" s="279">
        <f>E351+E352</f>
        <v>26273</v>
      </c>
      <c r="F350" s="279">
        <f>F351+F352</f>
        <v>508795</v>
      </c>
      <c r="G350" s="279">
        <f>SUM(D350:F350)</f>
        <v>19159468</v>
      </c>
    </row>
    <row r="351" spans="1:7" ht="15" customHeight="1">
      <c r="A351" s="486"/>
      <c r="C351" s="189" t="s">
        <v>119</v>
      </c>
      <c r="D351" s="278">
        <f>'[3]2.2 OMATULUD'!B207</f>
        <v>5703674</v>
      </c>
      <c r="E351" s="278"/>
      <c r="F351" s="618">
        <v>423572</v>
      </c>
      <c r="G351" s="278">
        <f>SUM(D351:F351)</f>
        <v>6127246</v>
      </c>
    </row>
    <row r="352" spans="1:7">
      <c r="A352" s="486"/>
      <c r="C352" s="173" t="s">
        <v>120</v>
      </c>
      <c r="D352" s="278">
        <f>D348-D351</f>
        <v>12920726</v>
      </c>
      <c r="E352" s="278">
        <f>E348-E351</f>
        <v>26273</v>
      </c>
      <c r="F352" s="278">
        <f>F348-F351</f>
        <v>85223</v>
      </c>
      <c r="G352" s="278">
        <f>SUM(D352:F352)</f>
        <v>13032222</v>
      </c>
    </row>
    <row r="353" spans="1:26" s="493" customFormat="1">
      <c r="C353" s="603" t="s">
        <v>884</v>
      </c>
      <c r="D353" s="494">
        <f>D357+D386+D395+D405+D430</f>
        <v>3325874</v>
      </c>
      <c r="E353" s="494">
        <f t="shared" ref="E353" si="11">E357+E386+E395+E405+E430</f>
        <v>19636</v>
      </c>
      <c r="F353" s="494">
        <f>F357+F386+F395+F405+F430+F449</f>
        <v>86116</v>
      </c>
      <c r="G353" s="494">
        <f>SUM(D353:F353)</f>
        <v>3431626</v>
      </c>
      <c r="H353" s="495"/>
      <c r="I353" s="495"/>
      <c r="J353" s="495"/>
      <c r="K353" s="495"/>
      <c r="L353" s="495"/>
      <c r="M353" s="604"/>
      <c r="O353" s="495"/>
      <c r="P353" s="495"/>
      <c r="Q353" s="495"/>
      <c r="R353" s="604"/>
      <c r="T353" s="495"/>
      <c r="U353" s="495"/>
      <c r="V353" s="495"/>
      <c r="W353" s="604"/>
      <c r="Z353" s="103"/>
    </row>
    <row r="354" spans="1:26">
      <c r="A354" s="486"/>
      <c r="C354" s="198"/>
      <c r="D354" s="210"/>
      <c r="E354" s="210"/>
      <c r="G354" s="210">
        <f>SUM(D354:F354)</f>
        <v>0</v>
      </c>
    </row>
    <row r="355" spans="1:26" ht="15">
      <c r="A355" s="486" t="s">
        <v>824</v>
      </c>
      <c r="B355" s="5" t="s">
        <v>246</v>
      </c>
      <c r="C355" s="190" t="s">
        <v>247</v>
      </c>
      <c r="D355" s="298">
        <f>D356+D379+D385</f>
        <v>15061864</v>
      </c>
      <c r="E355" s="298"/>
      <c r="F355" s="298">
        <f>F356+F379+F385</f>
        <v>109489</v>
      </c>
      <c r="G355" s="298">
        <f>SUM(D355:F355)</f>
        <v>15171353</v>
      </c>
    </row>
    <row r="356" spans="1:26" ht="12.75" customHeight="1">
      <c r="A356" s="486"/>
      <c r="C356" s="181" t="s">
        <v>248</v>
      </c>
      <c r="D356" s="291">
        <f>D360+D365+D370+D375</f>
        <v>7961519</v>
      </c>
      <c r="E356" s="291"/>
      <c r="F356" s="291">
        <f>F360+F365+F370+F375</f>
        <v>139066</v>
      </c>
      <c r="G356" s="291">
        <f>SUM(D356:F356)</f>
        <v>8100585</v>
      </c>
    </row>
    <row r="357" spans="1:26" ht="12" customHeight="1">
      <c r="A357" s="486"/>
      <c r="C357" s="182" t="s">
        <v>121</v>
      </c>
      <c r="D357" s="441">
        <f>D361+D366+D371+D376</f>
        <v>2715033</v>
      </c>
      <c r="E357" s="441"/>
      <c r="F357" s="441">
        <f>F361+F366+F371+F376</f>
        <v>24710</v>
      </c>
      <c r="G357" s="441">
        <f>SUM(D357:F357)</f>
        <v>2739743</v>
      </c>
    </row>
    <row r="358" spans="1:26" ht="12" customHeight="1">
      <c r="A358" s="486"/>
      <c r="C358" s="182"/>
      <c r="D358" s="210"/>
      <c r="E358" s="210"/>
      <c r="G358" s="210">
        <f>SUM(D358:F358)</f>
        <v>0</v>
      </c>
    </row>
    <row r="359" spans="1:26" ht="12" customHeight="1">
      <c r="A359" s="486"/>
      <c r="C359" s="195" t="s">
        <v>243</v>
      </c>
      <c r="D359" s="210"/>
      <c r="E359" s="210"/>
      <c r="G359" s="210">
        <f>SUM(D359:F359)</f>
        <v>0</v>
      </c>
    </row>
    <row r="360" spans="1:26" ht="12" customHeight="1">
      <c r="A360" s="486"/>
      <c r="C360" s="196" t="s">
        <v>711</v>
      </c>
      <c r="D360" s="210">
        <f>1132041-1125</f>
        <v>1130916</v>
      </c>
      <c r="E360" s="210"/>
      <c r="F360" s="545">
        <f>75520+83</f>
        <v>75603</v>
      </c>
      <c r="G360" s="210">
        <f>SUM(D360:F360)</f>
        <v>1206519</v>
      </c>
    </row>
    <row r="361" spans="1:26" ht="12" customHeight="1">
      <c r="A361" s="486"/>
      <c r="C361" s="191" t="s">
        <v>121</v>
      </c>
      <c r="D361" s="441">
        <f>480390-840</f>
        <v>479550</v>
      </c>
      <c r="E361" s="441"/>
      <c r="F361" s="542">
        <v>13970</v>
      </c>
      <c r="G361" s="441">
        <f>SUM(D361:F361)</f>
        <v>493520</v>
      </c>
    </row>
    <row r="362" spans="1:26" ht="12" customHeight="1">
      <c r="A362" s="486"/>
      <c r="C362" s="191"/>
      <c r="D362" s="441"/>
      <c r="E362" s="441"/>
      <c r="G362" s="441">
        <f>SUM(D362:F362)</f>
        <v>0</v>
      </c>
    </row>
    <row r="363" spans="1:26" ht="12" customHeight="1">
      <c r="A363" s="486"/>
      <c r="C363" s="182"/>
      <c r="D363" s="210"/>
      <c r="E363" s="210"/>
      <c r="G363" s="210">
        <f>SUM(D363:F363)</f>
        <v>0</v>
      </c>
    </row>
    <row r="364" spans="1:26" ht="12" customHeight="1">
      <c r="A364" s="486"/>
      <c r="C364" s="195" t="s">
        <v>243</v>
      </c>
      <c r="D364" s="210"/>
      <c r="E364" s="210"/>
      <c r="G364" s="210">
        <f>SUM(D364:F364)</f>
        <v>0</v>
      </c>
    </row>
    <row r="365" spans="1:26" ht="24">
      <c r="A365" s="486"/>
      <c r="C365" s="196" t="s">
        <v>712</v>
      </c>
      <c r="D365" s="210">
        <f>4714440+76150</f>
        <v>4790590</v>
      </c>
      <c r="E365" s="210"/>
      <c r="F365" s="545">
        <f>52180+10000+40000</f>
        <v>102180</v>
      </c>
      <c r="G365" s="210">
        <f>SUM(D365:F365)</f>
        <v>4892770</v>
      </c>
    </row>
    <row r="366" spans="1:26" ht="12" customHeight="1">
      <c r="A366" s="486"/>
      <c r="C366" s="191" t="s">
        <v>121</v>
      </c>
      <c r="D366" s="441">
        <v>1488469</v>
      </c>
      <c r="E366" s="441"/>
      <c r="F366" s="542">
        <v>3740</v>
      </c>
      <c r="G366" s="441">
        <f>SUM(D366:F366)</f>
        <v>1492209</v>
      </c>
    </row>
    <row r="367" spans="1:26" ht="12" customHeight="1">
      <c r="A367" s="486"/>
      <c r="C367" s="191"/>
      <c r="D367" s="441"/>
      <c r="E367" s="441"/>
      <c r="G367" s="441">
        <f>SUM(D367:F367)</f>
        <v>0</v>
      </c>
    </row>
    <row r="368" spans="1:26" ht="12" customHeight="1">
      <c r="A368" s="486"/>
      <c r="C368" s="198"/>
      <c r="D368" s="210"/>
      <c r="E368" s="210"/>
      <c r="G368" s="210">
        <f>SUM(D368:F368)</f>
        <v>0</v>
      </c>
    </row>
    <row r="369" spans="1:7" ht="12" customHeight="1">
      <c r="A369" s="486"/>
      <c r="C369" s="195" t="s">
        <v>243</v>
      </c>
      <c r="D369" s="210"/>
      <c r="E369" s="210"/>
      <c r="G369" s="210">
        <f>SUM(D369:F369)</f>
        <v>0</v>
      </c>
    </row>
    <row r="370" spans="1:7" ht="12" customHeight="1">
      <c r="A370" s="486"/>
      <c r="C370" s="196" t="s">
        <v>713</v>
      </c>
      <c r="D370" s="210">
        <f>1569646+1125</f>
        <v>1570771</v>
      </c>
      <c r="E370" s="210"/>
      <c r="F370" s="545">
        <v>-52835</v>
      </c>
      <c r="G370" s="210">
        <f>SUM(D370:F370)</f>
        <v>1517936</v>
      </c>
    </row>
    <row r="371" spans="1:7" ht="12" customHeight="1">
      <c r="A371" s="486"/>
      <c r="C371" s="191" t="s">
        <v>121</v>
      </c>
      <c r="D371" s="441">
        <f>625706+840</f>
        <v>626546</v>
      </c>
      <c r="E371" s="441"/>
      <c r="G371" s="441">
        <f>SUM(D371:F371)</f>
        <v>626546</v>
      </c>
    </row>
    <row r="372" spans="1:7" ht="12" customHeight="1">
      <c r="A372" s="486"/>
      <c r="C372" s="191"/>
      <c r="D372" s="441"/>
      <c r="E372" s="441"/>
      <c r="G372" s="441">
        <f>SUM(D372:F372)</f>
        <v>0</v>
      </c>
    </row>
    <row r="373" spans="1:7" ht="12" customHeight="1">
      <c r="A373" s="486"/>
      <c r="C373" s="198"/>
      <c r="D373" s="210"/>
      <c r="E373" s="210"/>
      <c r="G373" s="210">
        <f>SUM(D373:F373)</f>
        <v>0</v>
      </c>
    </row>
    <row r="374" spans="1:7" ht="12" customHeight="1">
      <c r="A374" s="486"/>
      <c r="C374" s="195" t="s">
        <v>243</v>
      </c>
      <c r="D374" s="210"/>
      <c r="E374" s="210"/>
      <c r="G374" s="210">
        <f>SUM(D374:F374)</f>
        <v>0</v>
      </c>
    </row>
    <row r="375" spans="1:7" ht="12" customHeight="1">
      <c r="A375" s="486"/>
      <c r="C375" s="196" t="s">
        <v>714</v>
      </c>
      <c r="D375" s="210">
        <v>469242</v>
      </c>
      <c r="E375" s="210"/>
      <c r="F375" s="545">
        <f>8810+5308</f>
        <v>14118</v>
      </c>
      <c r="G375" s="210">
        <f>SUM(D375:F375)</f>
        <v>483360</v>
      </c>
    </row>
    <row r="376" spans="1:7" ht="12" customHeight="1">
      <c r="A376" s="486"/>
      <c r="C376" s="191" t="s">
        <v>121</v>
      </c>
      <c r="D376" s="441">
        <v>120468</v>
      </c>
      <c r="E376" s="441"/>
      <c r="F376" s="542">
        <v>7000</v>
      </c>
      <c r="G376" s="441">
        <f>SUM(D376:F376)</f>
        <v>127468</v>
      </c>
    </row>
    <row r="377" spans="1:7" ht="12" customHeight="1">
      <c r="A377" s="486"/>
      <c r="C377" s="191"/>
      <c r="D377" s="441"/>
      <c r="E377" s="441"/>
      <c r="G377" s="441">
        <f>SUM(D377:F377)</f>
        <v>0</v>
      </c>
    </row>
    <row r="378" spans="1:7" ht="12" customHeight="1">
      <c r="A378" s="486"/>
      <c r="C378" s="198"/>
      <c r="D378" s="210"/>
      <c r="E378" s="210"/>
      <c r="G378" s="210">
        <f>SUM(D378:F378)</f>
        <v>0</v>
      </c>
    </row>
    <row r="379" spans="1:7" ht="12.75" customHeight="1">
      <c r="A379" s="486"/>
      <c r="C379" s="181" t="s">
        <v>715</v>
      </c>
      <c r="D379" s="291">
        <f>D382</f>
        <v>5665000</v>
      </c>
      <c r="E379" s="291"/>
      <c r="F379" s="103">
        <f>F382</f>
        <v>40588</v>
      </c>
      <c r="G379" s="291">
        <f>SUM(D379:F379)</f>
        <v>5705588</v>
      </c>
    </row>
    <row r="380" spans="1:7" ht="12" customHeight="1">
      <c r="A380" s="486"/>
      <c r="C380" s="181"/>
      <c r="D380" s="210"/>
      <c r="E380" s="210"/>
      <c r="G380" s="210">
        <f>SUM(D380:F380)</f>
        <v>0</v>
      </c>
    </row>
    <row r="381" spans="1:7" ht="12" customHeight="1">
      <c r="A381" s="486"/>
      <c r="C381" s="195" t="s">
        <v>243</v>
      </c>
      <c r="D381" s="210"/>
      <c r="E381" s="210"/>
      <c r="G381" s="210">
        <f>SUM(D381:F381)</f>
        <v>0</v>
      </c>
    </row>
    <row r="382" spans="1:7" ht="12" customHeight="1">
      <c r="A382" s="486"/>
      <c r="C382" s="196" t="s">
        <v>716</v>
      </c>
      <c r="D382" s="210">
        <v>5665000</v>
      </c>
      <c r="E382" s="210"/>
      <c r="F382" s="545">
        <v>40588</v>
      </c>
      <c r="G382" s="210">
        <f>SUM(D382:F382)</f>
        <v>5705588</v>
      </c>
    </row>
    <row r="383" spans="1:7" ht="12" customHeight="1">
      <c r="A383" s="486"/>
      <c r="C383" s="196"/>
      <c r="D383" s="210"/>
      <c r="E383" s="210"/>
      <c r="G383" s="210">
        <f>SUM(D383:F383)</f>
        <v>0</v>
      </c>
    </row>
    <row r="384" spans="1:7" ht="12" customHeight="1">
      <c r="A384" s="486"/>
      <c r="C384" s="205"/>
      <c r="D384" s="210"/>
      <c r="E384" s="210"/>
      <c r="G384" s="210">
        <f>SUM(D384:F384)</f>
        <v>0</v>
      </c>
    </row>
    <row r="385" spans="1:7" ht="12.75" customHeight="1">
      <c r="A385" s="486"/>
      <c r="C385" s="181" t="s">
        <v>717</v>
      </c>
      <c r="D385" s="291">
        <f>D389</f>
        <v>1435345</v>
      </c>
      <c r="E385" s="291"/>
      <c r="F385" s="103">
        <f>F389</f>
        <v>-70165</v>
      </c>
      <c r="G385" s="291">
        <f>SUM(D385:F385)</f>
        <v>1365180</v>
      </c>
    </row>
    <row r="386" spans="1:7" ht="12" customHeight="1">
      <c r="A386" s="486"/>
      <c r="C386" s="182" t="s">
        <v>121</v>
      </c>
      <c r="D386" s="4">
        <v>60560</v>
      </c>
      <c r="E386" s="4"/>
      <c r="G386" s="4">
        <f>SUM(D386:F386)</f>
        <v>60560</v>
      </c>
    </row>
    <row r="387" spans="1:7" ht="12" customHeight="1">
      <c r="A387" s="486"/>
      <c r="C387" s="442"/>
      <c r="D387" s="210"/>
      <c r="E387" s="210"/>
      <c r="G387" s="210">
        <f>SUM(D387:F387)</f>
        <v>0</v>
      </c>
    </row>
    <row r="388" spans="1:7" ht="12" customHeight="1">
      <c r="A388" s="486"/>
      <c r="C388" s="195" t="s">
        <v>243</v>
      </c>
      <c r="D388" s="210"/>
      <c r="E388" s="210"/>
      <c r="G388" s="210">
        <f>SUM(D388:F388)</f>
        <v>0</v>
      </c>
    </row>
    <row r="389" spans="1:7" ht="12" customHeight="1">
      <c r="A389" s="486"/>
      <c r="C389" s="196" t="s">
        <v>718</v>
      </c>
      <c r="D389" s="210">
        <v>1435345</v>
      </c>
      <c r="E389" s="210"/>
      <c r="F389" s="545">
        <f>-60165-10000</f>
        <v>-70165</v>
      </c>
      <c r="G389" s="210">
        <f>SUM(D389:F389)</f>
        <v>1365180</v>
      </c>
    </row>
    <row r="390" spans="1:7" ht="12" customHeight="1">
      <c r="A390" s="486"/>
      <c r="C390" s="191" t="s">
        <v>121</v>
      </c>
      <c r="D390" s="4">
        <v>60560</v>
      </c>
      <c r="E390" s="4"/>
      <c r="G390" s="4">
        <f>SUM(D390:F390)</f>
        <v>60560</v>
      </c>
    </row>
    <row r="391" spans="1:7" ht="12" customHeight="1">
      <c r="A391" s="486"/>
      <c r="C391" s="191"/>
      <c r="D391" s="4"/>
      <c r="E391" s="4"/>
      <c r="G391" s="4">
        <f>SUM(D391:F391)</f>
        <v>0</v>
      </c>
    </row>
    <row r="392" spans="1:7" ht="12" customHeight="1">
      <c r="A392" s="486"/>
      <c r="C392" s="196"/>
      <c r="D392" s="210"/>
      <c r="E392" s="210"/>
      <c r="G392" s="210">
        <f>SUM(D392:F392)</f>
        <v>0</v>
      </c>
    </row>
    <row r="393" spans="1:7" ht="15">
      <c r="A393" s="486" t="s">
        <v>839</v>
      </c>
      <c r="B393" s="5" t="s">
        <v>246</v>
      </c>
      <c r="C393" s="190" t="s">
        <v>249</v>
      </c>
      <c r="D393" s="298">
        <f>D394</f>
        <v>176355</v>
      </c>
      <c r="E393" s="298">
        <f t="shared" ref="E393" si="12">E394</f>
        <v>5339</v>
      </c>
      <c r="F393" s="298">
        <f>F394</f>
        <v>14127</v>
      </c>
      <c r="G393" s="298">
        <f>SUM(D393:F393)</f>
        <v>195821</v>
      </c>
    </row>
    <row r="394" spans="1:7" ht="12.75" customHeight="1">
      <c r="A394" s="486"/>
      <c r="C394" s="181" t="s">
        <v>250</v>
      </c>
      <c r="D394" s="291">
        <f>D398</f>
        <v>176355</v>
      </c>
      <c r="E394" s="291">
        <f t="shared" ref="E394:E395" si="13">E398</f>
        <v>5339</v>
      </c>
      <c r="F394" s="291">
        <f>F398</f>
        <v>14127</v>
      </c>
      <c r="G394" s="291">
        <f>SUM(D394:F394)</f>
        <v>195821</v>
      </c>
    </row>
    <row r="395" spans="1:7" ht="12" customHeight="1">
      <c r="A395" s="486"/>
      <c r="C395" s="182" t="s">
        <v>121</v>
      </c>
      <c r="D395" s="441">
        <f>D399</f>
        <v>99757</v>
      </c>
      <c r="E395" s="441">
        <f t="shared" si="13"/>
        <v>3990</v>
      </c>
      <c r="F395" s="441">
        <f>F399</f>
        <v>0</v>
      </c>
      <c r="G395" s="441">
        <f>SUM(D395:F395)</f>
        <v>103747</v>
      </c>
    </row>
    <row r="396" spans="1:7" ht="12" customHeight="1">
      <c r="A396" s="486"/>
      <c r="C396" s="205"/>
      <c r="D396" s="210"/>
      <c r="E396" s="210"/>
      <c r="G396" s="210">
        <f>SUM(D396:F396)</f>
        <v>0</v>
      </c>
    </row>
    <row r="397" spans="1:7" ht="12" customHeight="1">
      <c r="A397" s="486"/>
      <c r="C397" s="195" t="s">
        <v>243</v>
      </c>
      <c r="D397" s="210"/>
      <c r="E397" s="210"/>
      <c r="G397" s="210">
        <f>SUM(D397:F397)</f>
        <v>0</v>
      </c>
    </row>
    <row r="398" spans="1:7" ht="12" customHeight="1">
      <c r="A398" s="486"/>
      <c r="C398" s="196" t="s">
        <v>719</v>
      </c>
      <c r="D398" s="210">
        <v>176355</v>
      </c>
      <c r="E398" s="210">
        <v>5339</v>
      </c>
      <c r="F398" s="545">
        <f>14640-513</f>
        <v>14127</v>
      </c>
      <c r="G398" s="210">
        <f>SUM(D398:F398)</f>
        <v>195821</v>
      </c>
    </row>
    <row r="399" spans="1:7" ht="12" customHeight="1">
      <c r="A399" s="486"/>
      <c r="C399" s="191" t="s">
        <v>121</v>
      </c>
      <c r="D399" s="441">
        <v>99757</v>
      </c>
      <c r="E399" s="441">
        <v>3990</v>
      </c>
      <c r="G399" s="441">
        <f>SUM(D399:F399)</f>
        <v>103747</v>
      </c>
    </row>
    <row r="400" spans="1:7" ht="12" customHeight="1">
      <c r="A400" s="486"/>
      <c r="C400" s="191"/>
      <c r="D400" s="441"/>
      <c r="E400" s="441"/>
      <c r="G400" s="441">
        <f>SUM(D400:F400)</f>
        <v>0</v>
      </c>
    </row>
    <row r="401" spans="1:7" ht="12" customHeight="1">
      <c r="A401" s="486"/>
      <c r="C401" s="196"/>
      <c r="D401" s="210"/>
      <c r="E401" s="210"/>
      <c r="G401" s="210">
        <f>SUM(D401:F401)</f>
        <v>0</v>
      </c>
    </row>
    <row r="402" spans="1:7" ht="12" customHeight="1">
      <c r="A402" s="486"/>
      <c r="C402" s="76" t="s">
        <v>244</v>
      </c>
      <c r="D402" s="291">
        <f>D404+D407+D410+D429+D444+D446</f>
        <v>3386181</v>
      </c>
      <c r="E402" s="291">
        <f t="shared" ref="E402:G402" si="14">E404+E407+E410+E429+E444+E446</f>
        <v>20934</v>
      </c>
      <c r="F402" s="291">
        <f>F404+F407+F410+F429+F444+F446+F448</f>
        <v>385179</v>
      </c>
      <c r="G402" s="291">
        <f t="shared" si="14"/>
        <v>3431794</v>
      </c>
    </row>
    <row r="403" spans="1:7" ht="12" customHeight="1">
      <c r="A403" s="486"/>
      <c r="C403" s="198"/>
      <c r="D403" s="210"/>
      <c r="E403" s="210"/>
      <c r="G403" s="210">
        <f>SUM(D403:F403)</f>
        <v>0</v>
      </c>
    </row>
    <row r="404" spans="1:7" ht="12" customHeight="1">
      <c r="A404" s="486" t="s">
        <v>824</v>
      </c>
      <c r="B404" s="5" t="s">
        <v>246</v>
      </c>
      <c r="C404" s="233" t="s">
        <v>720</v>
      </c>
      <c r="D404" s="210">
        <v>694360</v>
      </c>
      <c r="E404" s="210">
        <v>20934</v>
      </c>
      <c r="F404" s="606">
        <f>-6322+10000-4249</f>
        <v>-571</v>
      </c>
      <c r="G404" s="210">
        <f>SUM(D404:F404)</f>
        <v>714723</v>
      </c>
    </row>
    <row r="405" spans="1:7" ht="12" customHeight="1">
      <c r="A405" s="486"/>
      <c r="C405" s="171" t="s">
        <v>121</v>
      </c>
      <c r="D405" s="441">
        <v>450090</v>
      </c>
      <c r="E405" s="441">
        <v>15646</v>
      </c>
      <c r="F405" s="542">
        <v>-3176</v>
      </c>
      <c r="G405" s="441">
        <f>SUM(D405:F405)</f>
        <v>462560</v>
      </c>
    </row>
    <row r="406" spans="1:7" ht="12" customHeight="1">
      <c r="A406" s="486"/>
      <c r="C406" s="171"/>
      <c r="D406" s="210"/>
      <c r="E406" s="210"/>
      <c r="G406" s="210">
        <f>SUM(D406:F406)</f>
        <v>0</v>
      </c>
    </row>
    <row r="407" spans="1:7" ht="12" customHeight="1">
      <c r="A407" s="486" t="s">
        <v>824</v>
      </c>
      <c r="B407" s="5" t="s">
        <v>246</v>
      </c>
      <c r="C407" s="233" t="s">
        <v>721</v>
      </c>
      <c r="D407" s="210">
        <f>D408</f>
        <v>100000</v>
      </c>
      <c r="E407" s="210"/>
      <c r="G407" s="210">
        <f>SUM(D407:F407)</f>
        <v>100000</v>
      </c>
    </row>
    <row r="408" spans="1:7" ht="12" customHeight="1">
      <c r="A408" s="486"/>
      <c r="C408" s="443" t="s">
        <v>722</v>
      </c>
      <c r="D408" s="208">
        <v>100000</v>
      </c>
      <c r="E408" s="208"/>
      <c r="G408" s="208">
        <f>SUM(D408:F408)</f>
        <v>100000</v>
      </c>
    </row>
    <row r="409" spans="1:7" ht="12" customHeight="1">
      <c r="A409" s="486"/>
      <c r="C409" s="198"/>
      <c r="D409" s="210"/>
      <c r="E409" s="210"/>
      <c r="G409" s="210">
        <f>SUM(D409:F409)</f>
        <v>0</v>
      </c>
    </row>
    <row r="410" spans="1:7" ht="12" customHeight="1">
      <c r="A410" s="486" t="s">
        <v>824</v>
      </c>
      <c r="B410" s="5" t="s">
        <v>246</v>
      </c>
      <c r="C410" s="233" t="s">
        <v>723</v>
      </c>
      <c r="D410" s="210">
        <f>SUM(D411:D427)</f>
        <v>1706831</v>
      </c>
      <c r="E410" s="210"/>
      <c r="F410" s="210">
        <f>SUM(F411:F427)</f>
        <v>15000</v>
      </c>
      <c r="G410" s="210">
        <f>SUM(D410:F410)</f>
        <v>1721831</v>
      </c>
    </row>
    <row r="411" spans="1:7" ht="12" customHeight="1">
      <c r="A411" s="486"/>
      <c r="C411" s="443" t="s">
        <v>993</v>
      </c>
      <c r="D411" s="208">
        <v>250000</v>
      </c>
      <c r="E411" s="208"/>
      <c r="G411" s="208">
        <f>SUM(D411:F411)</f>
        <v>250000</v>
      </c>
    </row>
    <row r="412" spans="1:7" ht="12" customHeight="1">
      <c r="A412" s="486"/>
      <c r="C412" s="444" t="s">
        <v>994</v>
      </c>
      <c r="D412" s="208">
        <v>90000</v>
      </c>
      <c r="E412" s="208"/>
      <c r="G412" s="208">
        <f>SUM(D412:F412)</f>
        <v>90000</v>
      </c>
    </row>
    <row r="413" spans="1:7" ht="12" customHeight="1">
      <c r="A413" s="486"/>
      <c r="C413" s="444" t="s">
        <v>724</v>
      </c>
      <c r="D413" s="208">
        <v>55000</v>
      </c>
      <c r="E413" s="208"/>
      <c r="G413" s="208">
        <f>SUM(D413:F413)</f>
        <v>55000</v>
      </c>
    </row>
    <row r="414" spans="1:7" ht="12" customHeight="1">
      <c r="A414" s="486"/>
      <c r="C414" s="218" t="s">
        <v>725</v>
      </c>
      <c r="D414" s="208">
        <v>3000</v>
      </c>
      <c r="E414" s="208"/>
      <c r="F414" s="208">
        <v>360</v>
      </c>
      <c r="G414" s="208">
        <f>SUM(D414:F414)</f>
        <v>3360</v>
      </c>
    </row>
    <row r="415" spans="1:7" ht="12" customHeight="1">
      <c r="A415" s="486"/>
      <c r="C415" s="444" t="s">
        <v>726</v>
      </c>
      <c r="D415" s="208">
        <v>130000</v>
      </c>
      <c r="E415" s="208"/>
      <c r="F415" s="208">
        <v>-7360</v>
      </c>
      <c r="G415" s="208">
        <f>SUM(D415:F415)</f>
        <v>122640</v>
      </c>
    </row>
    <row r="416" spans="1:7" ht="12" customHeight="1">
      <c r="A416" s="486"/>
      <c r="C416" s="444" t="s">
        <v>727</v>
      </c>
      <c r="D416" s="208">
        <v>61900</v>
      </c>
      <c r="E416" s="208"/>
      <c r="F416" s="208"/>
      <c r="G416" s="208">
        <f>SUM(D416:F416)</f>
        <v>61900</v>
      </c>
    </row>
    <row r="417" spans="1:7" ht="12" customHeight="1">
      <c r="A417" s="486"/>
      <c r="C417" s="444" t="s">
        <v>728</v>
      </c>
      <c r="D417" s="208">
        <v>120000</v>
      </c>
      <c r="E417" s="208"/>
      <c r="F417" s="208">
        <v>25000</v>
      </c>
      <c r="G417" s="208">
        <f>SUM(D417:F417)</f>
        <v>145000</v>
      </c>
    </row>
    <row r="418" spans="1:7" ht="12" customHeight="1">
      <c r="A418" s="486"/>
      <c r="C418" s="444" t="s">
        <v>729</v>
      </c>
      <c r="D418" s="208">
        <v>450000</v>
      </c>
      <c r="E418" s="208"/>
      <c r="F418" s="208">
        <v>20000</v>
      </c>
      <c r="G418" s="208">
        <f>SUM(D418:F418)</f>
        <v>470000</v>
      </c>
    </row>
    <row r="419" spans="1:7" ht="12" customHeight="1">
      <c r="A419" s="486"/>
      <c r="C419" s="444" t="s">
        <v>730</v>
      </c>
      <c r="D419" s="208">
        <v>22500</v>
      </c>
      <c r="E419" s="208"/>
      <c r="F419" s="208"/>
      <c r="G419" s="208">
        <f>SUM(D419:F419)</f>
        <v>22500</v>
      </c>
    </row>
    <row r="420" spans="1:7" ht="12" customHeight="1">
      <c r="A420" s="486"/>
      <c r="C420" s="444" t="s">
        <v>731</v>
      </c>
      <c r="D420" s="208">
        <v>20000</v>
      </c>
      <c r="E420" s="208"/>
      <c r="F420" s="208"/>
      <c r="G420" s="208">
        <f>SUM(D420:F420)</f>
        <v>20000</v>
      </c>
    </row>
    <row r="421" spans="1:7" ht="12" customHeight="1">
      <c r="A421" s="486"/>
      <c r="C421" s="444" t="s">
        <v>732</v>
      </c>
      <c r="D421" s="208">
        <v>210000</v>
      </c>
      <c r="E421" s="208"/>
      <c r="F421" s="208">
        <v>-60000</v>
      </c>
      <c r="G421" s="208">
        <f>SUM(D421:F421)</f>
        <v>150000</v>
      </c>
    </row>
    <row r="422" spans="1:7" ht="12" customHeight="1">
      <c r="A422" s="486"/>
      <c r="C422" s="444" t="s">
        <v>733</v>
      </c>
      <c r="D422" s="208">
        <v>70000</v>
      </c>
      <c r="E422" s="208"/>
      <c r="F422" s="208"/>
      <c r="G422" s="208">
        <f>SUM(D422:F422)</f>
        <v>70000</v>
      </c>
    </row>
    <row r="423" spans="1:7" ht="12" customHeight="1">
      <c r="A423" s="486"/>
      <c r="C423" s="444" t="s">
        <v>734</v>
      </c>
      <c r="D423" s="208">
        <v>65000</v>
      </c>
      <c r="E423" s="208"/>
      <c r="F423" s="208"/>
      <c r="G423" s="208">
        <f>SUM(D423:F423)</f>
        <v>65000</v>
      </c>
    </row>
    <row r="424" spans="1:7" ht="12" customHeight="1">
      <c r="A424" s="486"/>
      <c r="C424" s="444" t="s">
        <v>808</v>
      </c>
      <c r="D424" s="208">
        <v>57801</v>
      </c>
      <c r="E424" s="208"/>
      <c r="F424" s="208"/>
      <c r="G424" s="208">
        <f>SUM(D424:F424)</f>
        <v>57801</v>
      </c>
    </row>
    <row r="425" spans="1:7" ht="12" customHeight="1">
      <c r="A425" s="486"/>
      <c r="C425" s="444" t="s">
        <v>775</v>
      </c>
      <c r="D425" s="208">
        <v>20000</v>
      </c>
      <c r="E425" s="208"/>
      <c r="F425" s="208"/>
      <c r="G425" s="208">
        <f>SUM(D425:F425)</f>
        <v>20000</v>
      </c>
    </row>
    <row r="426" spans="1:7" ht="12" customHeight="1">
      <c r="A426" s="486"/>
      <c r="C426" s="444" t="s">
        <v>933</v>
      </c>
      <c r="D426" s="208"/>
      <c r="E426" s="208"/>
      <c r="F426" s="208">
        <v>15000</v>
      </c>
      <c r="G426" s="208">
        <f>SUM(D426:F426)</f>
        <v>15000</v>
      </c>
    </row>
    <row r="427" spans="1:7" ht="12" customHeight="1">
      <c r="A427" s="486"/>
      <c r="C427" s="444" t="s">
        <v>735</v>
      </c>
      <c r="D427" s="208">
        <v>81630</v>
      </c>
      <c r="E427" s="208"/>
      <c r="F427" s="208">
        <v>22000</v>
      </c>
      <c r="G427" s="208">
        <f>SUM(D427:F427)</f>
        <v>103630</v>
      </c>
    </row>
    <row r="428" spans="1:7" ht="12" customHeight="1">
      <c r="A428" s="486"/>
      <c r="C428" s="198"/>
      <c r="D428" s="210"/>
      <c r="E428" s="210"/>
      <c r="G428" s="210">
        <f>SUM(D428:F428)</f>
        <v>0</v>
      </c>
    </row>
    <row r="429" spans="1:7" ht="12" customHeight="1">
      <c r="A429" s="486" t="s">
        <v>839</v>
      </c>
      <c r="B429" s="5" t="s">
        <v>246</v>
      </c>
      <c r="C429" s="233" t="s">
        <v>736</v>
      </c>
      <c r="D429" s="210">
        <f>D431+D433+D434+D435+D436+D437</f>
        <v>640990</v>
      </c>
      <c r="E429" s="210"/>
      <c r="F429" s="210">
        <f>F431+F433+F434+F435+F436+F437</f>
        <v>10250</v>
      </c>
      <c r="G429" s="210">
        <f>SUM(D429:F429)</f>
        <v>651240</v>
      </c>
    </row>
    <row r="430" spans="1:7" ht="12" customHeight="1">
      <c r="A430" s="486"/>
      <c r="C430" s="171" t="s">
        <v>121</v>
      </c>
      <c r="D430" s="441">
        <f>D432</f>
        <v>434</v>
      </c>
      <c r="E430" s="441"/>
      <c r="G430" s="441">
        <f>SUM(D430:F430)</f>
        <v>434</v>
      </c>
    </row>
    <row r="431" spans="1:7" ht="12" customHeight="1">
      <c r="A431" s="486"/>
      <c r="C431" s="172" t="s">
        <v>737</v>
      </c>
      <c r="D431" s="4">
        <v>41100</v>
      </c>
      <c r="E431" s="4"/>
      <c r="F431" s="208">
        <v>-2000</v>
      </c>
      <c r="G431" s="4">
        <f>SUM(D431:F431)</f>
        <v>39100</v>
      </c>
    </row>
    <row r="432" spans="1:7" ht="12" customHeight="1">
      <c r="A432" s="486"/>
      <c r="C432" s="243" t="s">
        <v>121</v>
      </c>
      <c r="D432" s="441">
        <v>434</v>
      </c>
      <c r="E432" s="441"/>
      <c r="F432" s="208"/>
      <c r="G432" s="441">
        <f>SUM(D432:F432)</f>
        <v>434</v>
      </c>
    </row>
    <row r="433" spans="1:7" ht="12" customHeight="1">
      <c r="A433" s="486"/>
      <c r="C433" s="172" t="s">
        <v>738</v>
      </c>
      <c r="D433" s="4">
        <v>120000</v>
      </c>
      <c r="E433" s="4"/>
      <c r="F433" s="208"/>
      <c r="G433" s="4">
        <f>SUM(D433:F433)</f>
        <v>120000</v>
      </c>
    </row>
    <row r="434" spans="1:7" ht="12" customHeight="1">
      <c r="A434" s="486"/>
      <c r="C434" s="172" t="s">
        <v>739</v>
      </c>
      <c r="D434" s="4">
        <v>1250</v>
      </c>
      <c r="E434" s="4"/>
      <c r="F434" s="208">
        <v>-1250</v>
      </c>
      <c r="G434" s="4">
        <f>SUM(D434:F434)</f>
        <v>0</v>
      </c>
    </row>
    <row r="435" spans="1:7" ht="12" customHeight="1">
      <c r="A435" s="486"/>
      <c r="C435" s="172" t="s">
        <v>740</v>
      </c>
      <c r="D435" s="4">
        <v>48940</v>
      </c>
      <c r="E435" s="4"/>
      <c r="F435" s="208"/>
      <c r="G435" s="4">
        <f>SUM(D435:F435)</f>
        <v>48940</v>
      </c>
    </row>
    <row r="436" spans="1:7" ht="12" customHeight="1">
      <c r="A436" s="486"/>
      <c r="C436" s="172" t="s">
        <v>741</v>
      </c>
      <c r="D436" s="4">
        <v>20000</v>
      </c>
      <c r="E436" s="4"/>
      <c r="F436" s="208"/>
      <c r="G436" s="4">
        <f>SUM(D436:F436)</f>
        <v>20000</v>
      </c>
    </row>
    <row r="437" spans="1:7" ht="12" customHeight="1">
      <c r="A437" s="486"/>
      <c r="C437" s="182" t="s">
        <v>742</v>
      </c>
      <c r="D437" s="4">
        <f>D438+D439+D440+D441</f>
        <v>409700</v>
      </c>
      <c r="E437" s="4"/>
      <c r="F437" s="4">
        <f>F438+F439+F440+F441+F442</f>
        <v>13500</v>
      </c>
      <c r="G437" s="4">
        <f>SUM(D437:F437)</f>
        <v>423200</v>
      </c>
    </row>
    <row r="438" spans="1:7" ht="12" customHeight="1">
      <c r="A438" s="486"/>
      <c r="C438" s="194" t="s">
        <v>743</v>
      </c>
      <c r="D438" s="208">
        <v>273700</v>
      </c>
      <c r="E438" s="208"/>
      <c r="F438" s="208"/>
      <c r="G438" s="208">
        <f>SUM(D438:F438)</f>
        <v>273700</v>
      </c>
    </row>
    <row r="439" spans="1:7" ht="12" customHeight="1">
      <c r="A439" s="486"/>
      <c r="C439" s="445" t="s">
        <v>744</v>
      </c>
      <c r="D439" s="208">
        <v>5000</v>
      </c>
      <c r="E439" s="208"/>
      <c r="F439" s="208">
        <v>-5000</v>
      </c>
      <c r="G439" s="208">
        <f>SUM(D439:F439)</f>
        <v>0</v>
      </c>
    </row>
    <row r="440" spans="1:7" ht="12" customHeight="1">
      <c r="A440" s="486"/>
      <c r="C440" s="445" t="s">
        <v>745</v>
      </c>
      <c r="D440" s="208">
        <f>100000+15000</f>
        <v>115000</v>
      </c>
      <c r="E440" s="208"/>
      <c r="F440" s="208"/>
      <c r="G440" s="208">
        <f>SUM(D440:F440)</f>
        <v>115000</v>
      </c>
    </row>
    <row r="441" spans="1:7" ht="12" customHeight="1">
      <c r="A441" s="486"/>
      <c r="C441" s="445" t="s">
        <v>746</v>
      </c>
      <c r="D441" s="208">
        <v>16000</v>
      </c>
      <c r="E441" s="208"/>
      <c r="F441" s="208"/>
      <c r="G441" s="208">
        <f>SUM(D441:F441)</f>
        <v>16000</v>
      </c>
    </row>
    <row r="442" spans="1:7" ht="12" customHeight="1">
      <c r="A442" s="486"/>
      <c r="C442" s="445" t="s">
        <v>995</v>
      </c>
      <c r="D442" s="208"/>
      <c r="E442" s="208"/>
      <c r="F442" s="208">
        <v>18500</v>
      </c>
      <c r="G442" s="208">
        <f>SUM(D442:F442)</f>
        <v>18500</v>
      </c>
    </row>
    <row r="443" spans="1:7" ht="12" customHeight="1">
      <c r="A443" s="486"/>
      <c r="C443" s="172"/>
      <c r="D443" s="210"/>
      <c r="E443" s="210"/>
      <c r="F443" s="208"/>
      <c r="G443" s="210">
        <f>SUM(D443:F443)</f>
        <v>0</v>
      </c>
    </row>
    <row r="444" spans="1:7" ht="12" customHeight="1">
      <c r="A444" s="486" t="s">
        <v>824</v>
      </c>
      <c r="B444" s="5" t="s">
        <v>246</v>
      </c>
      <c r="C444" s="233" t="s">
        <v>747</v>
      </c>
      <c r="D444" s="210">
        <v>64000</v>
      </c>
      <c r="E444" s="210"/>
      <c r="G444" s="210">
        <f>SUM(D444:F444)</f>
        <v>64000</v>
      </c>
    </row>
    <row r="445" spans="1:7" ht="12" customHeight="1">
      <c r="A445" s="486"/>
      <c r="C445" s="233"/>
      <c r="D445" s="210"/>
      <c r="E445" s="210"/>
      <c r="G445" s="210">
        <f>SUM(D445:F445)</f>
        <v>0</v>
      </c>
    </row>
    <row r="446" spans="1:7" ht="12" customHeight="1">
      <c r="A446" s="486" t="s">
        <v>824</v>
      </c>
      <c r="B446" s="5" t="s">
        <v>246</v>
      </c>
      <c r="C446" s="446" t="s">
        <v>748</v>
      </c>
      <c r="D446" s="210">
        <v>180000</v>
      </c>
      <c r="E446" s="210"/>
      <c r="G446" s="210">
        <f>SUM(D446:F446)</f>
        <v>180000</v>
      </c>
    </row>
    <row r="447" spans="1:7">
      <c r="A447" s="486"/>
      <c r="C447" s="614"/>
      <c r="D447" s="210"/>
      <c r="E447" s="210"/>
      <c r="G447" s="210">
        <f>SUM(D447:F447)</f>
        <v>0</v>
      </c>
    </row>
    <row r="448" spans="1:7">
      <c r="A448" s="486" t="s">
        <v>839</v>
      </c>
      <c r="B448" s="5" t="s">
        <v>246</v>
      </c>
      <c r="C448" s="446" t="s">
        <v>934</v>
      </c>
      <c r="D448" s="210"/>
      <c r="E448" s="210"/>
      <c r="F448" s="619">
        <v>360500</v>
      </c>
      <c r="G448" s="210">
        <f>SUM(D448:F448)</f>
        <v>360500</v>
      </c>
    </row>
    <row r="449" spans="1:26">
      <c r="A449" s="486"/>
      <c r="C449" s="171" t="s">
        <v>121</v>
      </c>
      <c r="D449" s="306"/>
      <c r="E449" s="306"/>
      <c r="F449" s="542">
        <f>41480+23102</f>
        <v>64582</v>
      </c>
      <c r="G449" s="210">
        <f>SUM(D449:F449)</f>
        <v>64582</v>
      </c>
    </row>
    <row r="450" spans="1:26" ht="12" customHeight="1">
      <c r="A450" s="486"/>
      <c r="C450" s="139"/>
      <c r="D450" s="306"/>
      <c r="E450" s="306"/>
      <c r="G450" s="306">
        <f>SUM(D450:F450)</f>
        <v>0</v>
      </c>
    </row>
    <row r="451" spans="1:26" ht="15.75">
      <c r="A451" s="486"/>
      <c r="C451" s="184" t="s">
        <v>996</v>
      </c>
      <c r="D451" s="276"/>
      <c r="E451" s="276"/>
      <c r="G451" s="276">
        <f>SUM(D451:F451)</f>
        <v>0</v>
      </c>
    </row>
    <row r="452" spans="1:26" ht="12" customHeight="1">
      <c r="A452" s="486"/>
      <c r="C452" s="146"/>
      <c r="D452" s="307"/>
      <c r="E452" s="307"/>
      <c r="G452" s="307">
        <f>SUM(D452:F452)</f>
        <v>0</v>
      </c>
    </row>
    <row r="453" spans="1:26" ht="12" customHeight="1">
      <c r="A453" s="486"/>
      <c r="C453" s="186" t="s">
        <v>240</v>
      </c>
      <c r="D453" s="277">
        <f>D461+D622</f>
        <v>47705782</v>
      </c>
      <c r="E453" s="277">
        <f>E461+E622</f>
        <v>36470</v>
      </c>
      <c r="F453" s="277">
        <f>F461+F622</f>
        <v>1664685</v>
      </c>
      <c r="G453" s="277">
        <f>SUM(D453:F453)</f>
        <v>49406937</v>
      </c>
    </row>
    <row r="454" spans="1:26" ht="12" customHeight="1">
      <c r="A454" s="486"/>
      <c r="C454" s="187" t="s">
        <v>825</v>
      </c>
      <c r="D454" s="278">
        <v>1830000</v>
      </c>
      <c r="E454" s="278"/>
      <c r="G454" s="278">
        <f>SUM(D454:F454)</f>
        <v>1830000</v>
      </c>
    </row>
    <row r="455" spans="1:26" ht="12" customHeight="1">
      <c r="A455" s="486"/>
      <c r="C455" s="197" t="s">
        <v>118</v>
      </c>
      <c r="D455" s="279">
        <f>D456+D458+D457</f>
        <v>47705782</v>
      </c>
      <c r="E455" s="279">
        <f>E456+E458+E457</f>
        <v>36470</v>
      </c>
      <c r="F455" s="279">
        <f>F456+F458+F457</f>
        <v>1664685</v>
      </c>
      <c r="G455" s="279">
        <f>SUM(D455:F455)</f>
        <v>49406937</v>
      </c>
    </row>
    <row r="456" spans="1:26" ht="12" customHeight="1">
      <c r="A456" s="486"/>
      <c r="C456" s="189" t="s">
        <v>119</v>
      </c>
      <c r="D456" s="278">
        <f>'[3]2.2 OMATULUD'!B295-275220</f>
        <v>12965558</v>
      </c>
      <c r="E456" s="278"/>
      <c r="F456" s="20">
        <f>'[3]2.2 OMATULUD'!D295+269820</f>
        <v>1367587</v>
      </c>
      <c r="G456" s="278">
        <f>SUM(D456:F456)</f>
        <v>14333145</v>
      </c>
    </row>
    <row r="457" spans="1:26" ht="12" customHeight="1">
      <c r="A457" s="486"/>
      <c r="C457" s="173" t="s">
        <v>106</v>
      </c>
      <c r="D457" s="278">
        <f>D690+D694+D698</f>
        <v>303447</v>
      </c>
      <c r="E457" s="278"/>
      <c r="F457" s="20">
        <f>'[3]2.3 TOETUSED'!C48</f>
        <v>41508</v>
      </c>
      <c r="G457" s="278">
        <f>SUM(D457:F457)</f>
        <v>344955</v>
      </c>
    </row>
    <row r="458" spans="1:26" ht="24" customHeight="1">
      <c r="A458" s="486"/>
      <c r="C458" s="173" t="s">
        <v>120</v>
      </c>
      <c r="D458" s="278">
        <f>D453-D456-D457</f>
        <v>34436777</v>
      </c>
      <c r="E458" s="278">
        <f>E453-E456-E457</f>
        <v>36470</v>
      </c>
      <c r="F458" s="278">
        <f>F453-F456-F457</f>
        <v>255590</v>
      </c>
      <c r="G458" s="278">
        <f>SUM(D458:F458)</f>
        <v>34728837</v>
      </c>
    </row>
    <row r="459" spans="1:26" s="493" customFormat="1">
      <c r="C459" s="603" t="s">
        <v>884</v>
      </c>
      <c r="D459" s="494">
        <f>D463+D514+D537+D586+D627+D632+D671+D688+D703+D706+D729</f>
        <v>14532869</v>
      </c>
      <c r="E459" s="494">
        <f>E463+E514+E537+E586+E627+E632+E671+E688+E703+E706+E729</f>
        <v>27257</v>
      </c>
      <c r="F459" s="494">
        <f>F463+F514+F537+F586+F627+F632+F671+F688+F703+F706+F729+F674+F677</f>
        <v>905505</v>
      </c>
      <c r="G459" s="494">
        <f>SUM(D459:F459)</f>
        <v>15465631</v>
      </c>
      <c r="H459" s="495"/>
      <c r="I459" s="495"/>
      <c r="J459" s="495"/>
      <c r="K459" s="495"/>
      <c r="L459" s="495"/>
      <c r="M459" s="604"/>
      <c r="O459" s="495"/>
      <c r="P459" s="495"/>
      <c r="Q459" s="495"/>
      <c r="R459" s="604"/>
      <c r="T459" s="495"/>
      <c r="U459" s="495"/>
      <c r="V459" s="495"/>
      <c r="W459" s="604"/>
      <c r="Z459" s="103"/>
    </row>
    <row r="460" spans="1:26" s="493" customFormat="1">
      <c r="C460" s="496"/>
      <c r="D460" s="495"/>
      <c r="E460" s="495"/>
      <c r="F460" s="495"/>
      <c r="G460" s="495">
        <f>SUM(D460:F460)</f>
        <v>0</v>
      </c>
      <c r="H460" s="495"/>
      <c r="I460" s="495"/>
      <c r="J460" s="495"/>
      <c r="K460" s="495"/>
      <c r="L460" s="495"/>
      <c r="M460" s="604"/>
      <c r="O460" s="495"/>
      <c r="P460" s="495"/>
      <c r="Q460" s="495"/>
      <c r="R460" s="604"/>
      <c r="T460" s="495"/>
      <c r="U460" s="495"/>
      <c r="V460" s="495"/>
      <c r="W460" s="604"/>
      <c r="Z460" s="103"/>
    </row>
    <row r="461" spans="1:26" ht="17.25" customHeight="1">
      <c r="A461" s="486" t="s">
        <v>773</v>
      </c>
      <c r="B461" s="5" t="s">
        <v>251</v>
      </c>
      <c r="C461" s="190" t="s">
        <v>252</v>
      </c>
      <c r="D461" s="298">
        <f>D462+D513+D536+D585</f>
        <v>17846079</v>
      </c>
      <c r="E461" s="298">
        <f>E462+E513+E536+E585</f>
        <v>0</v>
      </c>
      <c r="F461" s="298">
        <f>F462+F513+F536+F585</f>
        <v>395757</v>
      </c>
      <c r="G461" s="298">
        <f>SUM(D461:F461)</f>
        <v>18241836</v>
      </c>
    </row>
    <row r="462" spans="1:26">
      <c r="A462" s="486"/>
      <c r="C462" s="181" t="s">
        <v>253</v>
      </c>
      <c r="D462" s="291">
        <f>D465+D469+D473+D477+D482+D486+D490+D495+D499+D504+D509</f>
        <v>6876658</v>
      </c>
      <c r="E462" s="291">
        <f>E465+E469+E473+E477+E482+E486+E490+E495+E499+E504+E509</f>
        <v>0</v>
      </c>
      <c r="F462" s="291">
        <f>F465+F469+F473+F477+F482+F486+F490+F495+F499+F504+F509</f>
        <v>462728</v>
      </c>
      <c r="G462" s="291">
        <f>SUM(D462:F462)</f>
        <v>7339386</v>
      </c>
    </row>
    <row r="463" spans="1:26">
      <c r="A463" s="486"/>
      <c r="C463" s="182" t="s">
        <v>121</v>
      </c>
      <c r="D463" s="281">
        <f>D474+D478+D491+D500+D505+D510</f>
        <v>2989191</v>
      </c>
      <c r="E463" s="281">
        <f>E474+E478+E491+E500+E505+E510</f>
        <v>0</v>
      </c>
      <c r="F463" s="281">
        <f>F474+F478+F491+F500+F505+F510</f>
        <v>153945</v>
      </c>
      <c r="G463" s="281">
        <f>SUM(D463:F463)</f>
        <v>3143136</v>
      </c>
    </row>
    <row r="464" spans="1:26" ht="12" customHeight="1">
      <c r="A464" s="486"/>
      <c r="C464" s="195" t="s">
        <v>243</v>
      </c>
      <c r="D464" s="291"/>
      <c r="E464" s="291"/>
      <c r="F464" s="103"/>
      <c r="G464" s="291">
        <f>SUM(D464:F464)</f>
        <v>0</v>
      </c>
    </row>
    <row r="465" spans="1:7" ht="12" customHeight="1">
      <c r="A465" s="486"/>
      <c r="C465" s="196" t="s">
        <v>254</v>
      </c>
      <c r="D465" s="302">
        <v>1475420</v>
      </c>
      <c r="E465" s="302"/>
      <c r="F465" s="103"/>
      <c r="G465" s="302">
        <f>SUM(D465:F465)</f>
        <v>1475420</v>
      </c>
    </row>
    <row r="466" spans="1:7">
      <c r="A466" s="486"/>
      <c r="C466" s="196"/>
      <c r="D466" s="302"/>
      <c r="E466" s="302"/>
      <c r="F466" s="103"/>
      <c r="G466" s="302">
        <f>SUM(D466:F466)</f>
        <v>0</v>
      </c>
    </row>
    <row r="467" spans="1:7" ht="12" customHeight="1">
      <c r="A467" s="486"/>
      <c r="C467" s="201"/>
      <c r="D467" s="302"/>
      <c r="E467" s="302"/>
      <c r="F467" s="103"/>
      <c r="G467" s="302">
        <f>SUM(D467:F467)</f>
        <v>0</v>
      </c>
    </row>
    <row r="468" spans="1:7" ht="12" customHeight="1">
      <c r="A468" s="486"/>
      <c r="C468" s="195" t="s">
        <v>243</v>
      </c>
      <c r="D468" s="291"/>
      <c r="E468" s="291"/>
      <c r="F468" s="103"/>
      <c r="G468" s="291">
        <f>SUM(D468:F468)</f>
        <v>0</v>
      </c>
    </row>
    <row r="469" spans="1:7" ht="12" customHeight="1">
      <c r="A469" s="486"/>
      <c r="C469" s="196" t="s">
        <v>255</v>
      </c>
      <c r="D469" s="302">
        <v>75820</v>
      </c>
      <c r="E469" s="302"/>
      <c r="F469" s="103"/>
      <c r="G469" s="302">
        <f>SUM(D469:F469)</f>
        <v>75820</v>
      </c>
    </row>
    <row r="470" spans="1:7" ht="12" customHeight="1">
      <c r="A470" s="486"/>
      <c r="C470" s="196"/>
      <c r="D470" s="302"/>
      <c r="E470" s="302"/>
      <c r="F470" s="103"/>
      <c r="G470" s="302">
        <f>SUM(D470:F470)</f>
        <v>0</v>
      </c>
    </row>
    <row r="471" spans="1:7" ht="12" customHeight="1">
      <c r="A471" s="486"/>
      <c r="C471" s="201"/>
      <c r="D471" s="302"/>
      <c r="E471" s="302"/>
      <c r="F471" s="103"/>
      <c r="G471" s="302">
        <f>SUM(D471:F471)</f>
        <v>0</v>
      </c>
    </row>
    <row r="472" spans="1:7" ht="12" customHeight="1">
      <c r="A472" s="486"/>
      <c r="C472" s="195" t="s">
        <v>243</v>
      </c>
      <c r="D472" s="291"/>
      <c r="E472" s="291"/>
      <c r="F472" s="103"/>
      <c r="G472" s="291">
        <f>SUM(D472:F472)</f>
        <v>0</v>
      </c>
    </row>
    <row r="473" spans="1:7" ht="12" customHeight="1">
      <c r="A473" s="486"/>
      <c r="C473" s="196" t="s">
        <v>256</v>
      </c>
      <c r="D473" s="302">
        <v>252170</v>
      </c>
      <c r="E473" s="302"/>
      <c r="F473" s="103">
        <v>45330</v>
      </c>
      <c r="G473" s="302">
        <f>SUM(D473:F473)</f>
        <v>297500</v>
      </c>
    </row>
    <row r="474" spans="1:7" ht="12" customHeight="1">
      <c r="A474" s="486"/>
      <c r="C474" s="191" t="s">
        <v>121</v>
      </c>
      <c r="D474" s="281">
        <v>16250</v>
      </c>
      <c r="E474" s="281"/>
      <c r="F474" s="515">
        <v>-16250</v>
      </c>
      <c r="G474" s="302">
        <f>SUM(D474:F474)</f>
        <v>0</v>
      </c>
    </row>
    <row r="475" spans="1:7" ht="12" customHeight="1">
      <c r="A475" s="486"/>
      <c r="C475" s="200"/>
      <c r="D475" s="308"/>
      <c r="E475" s="308"/>
      <c r="F475" s="103"/>
      <c r="G475" s="308">
        <f>SUM(D475:F475)</f>
        <v>0</v>
      </c>
    </row>
    <row r="476" spans="1:7" ht="12" customHeight="1">
      <c r="A476" s="486"/>
      <c r="C476" s="195" t="s">
        <v>243</v>
      </c>
      <c r="D476" s="291"/>
      <c r="E476" s="291"/>
      <c r="F476" s="103"/>
      <c r="G476" s="291">
        <f>SUM(D476:F476)</f>
        <v>0</v>
      </c>
    </row>
    <row r="477" spans="1:7" ht="24">
      <c r="A477" s="486"/>
      <c r="C477" s="196" t="s">
        <v>257</v>
      </c>
      <c r="D477" s="302">
        <v>496670</v>
      </c>
      <c r="E477" s="302"/>
      <c r="F477" s="103"/>
      <c r="G477" s="302">
        <f>SUM(D477:F477)</f>
        <v>496670</v>
      </c>
    </row>
    <row r="478" spans="1:7" ht="12" customHeight="1">
      <c r="A478" s="486"/>
      <c r="C478" s="191" t="s">
        <v>121</v>
      </c>
      <c r="D478" s="281">
        <v>371612</v>
      </c>
      <c r="E478" s="281"/>
      <c r="F478" s="103"/>
      <c r="G478" s="281">
        <f>SUM(D478:F478)</f>
        <v>371612</v>
      </c>
    </row>
    <row r="479" spans="1:7" ht="12" customHeight="1">
      <c r="A479" s="486"/>
      <c r="C479" s="196"/>
      <c r="D479" s="302"/>
      <c r="E479" s="302"/>
      <c r="F479" s="103"/>
      <c r="G479" s="302">
        <f>SUM(D479:F479)</f>
        <v>0</v>
      </c>
    </row>
    <row r="480" spans="1:7" ht="12" customHeight="1">
      <c r="A480" s="486"/>
      <c r="C480" s="201"/>
      <c r="D480" s="302"/>
      <c r="E480" s="302"/>
      <c r="F480" s="103"/>
      <c r="G480" s="302">
        <f>SUM(D480:F480)</f>
        <v>0</v>
      </c>
    </row>
    <row r="481" spans="1:7" ht="12" customHeight="1">
      <c r="A481" s="486"/>
      <c r="C481" s="195" t="s">
        <v>243</v>
      </c>
      <c r="D481" s="291"/>
      <c r="E481" s="291"/>
      <c r="F481" s="103"/>
      <c r="G481" s="291">
        <f>SUM(D481:F481)</f>
        <v>0</v>
      </c>
    </row>
    <row r="482" spans="1:7" ht="12" customHeight="1">
      <c r="A482" s="486"/>
      <c r="C482" s="196" t="s">
        <v>258</v>
      </c>
      <c r="D482" s="302">
        <v>199870</v>
      </c>
      <c r="E482" s="302"/>
      <c r="F482" s="103"/>
      <c r="G482" s="302">
        <f>SUM(D482:F482)</f>
        <v>199870</v>
      </c>
    </row>
    <row r="483" spans="1:7" ht="12" customHeight="1">
      <c r="A483" s="486"/>
      <c r="C483" s="196"/>
      <c r="D483" s="302"/>
      <c r="E483" s="302"/>
      <c r="F483" s="103"/>
      <c r="G483" s="302">
        <f>SUM(D483:F483)</f>
        <v>0</v>
      </c>
    </row>
    <row r="484" spans="1:7" ht="12" customHeight="1">
      <c r="A484" s="486"/>
      <c r="C484" s="202"/>
      <c r="D484" s="308"/>
      <c r="E484" s="308"/>
      <c r="F484" s="103"/>
      <c r="G484" s="308">
        <f>SUM(D484:F484)</f>
        <v>0</v>
      </c>
    </row>
    <row r="485" spans="1:7" ht="12" customHeight="1">
      <c r="A485" s="486"/>
      <c r="C485" s="195" t="s">
        <v>243</v>
      </c>
      <c r="D485" s="291"/>
      <c r="E485" s="291"/>
      <c r="F485" s="103"/>
      <c r="G485" s="291">
        <f>SUM(D485:F485)</f>
        <v>0</v>
      </c>
    </row>
    <row r="486" spans="1:7" ht="12" customHeight="1">
      <c r="A486" s="486"/>
      <c r="C486" s="196" t="s">
        <v>259</v>
      </c>
      <c r="D486" s="302">
        <v>12000</v>
      </c>
      <c r="E486" s="302"/>
      <c r="F486" s="103"/>
      <c r="G486" s="302">
        <f>SUM(D486:F486)</f>
        <v>12000</v>
      </c>
    </row>
    <row r="487" spans="1:7" ht="12" customHeight="1">
      <c r="A487" s="486"/>
      <c r="C487" s="196"/>
      <c r="D487" s="302"/>
      <c r="E487" s="302"/>
      <c r="F487" s="103"/>
      <c r="G487" s="302">
        <f>SUM(D487:F487)</f>
        <v>0</v>
      </c>
    </row>
    <row r="488" spans="1:7">
      <c r="A488" s="486"/>
      <c r="C488" s="198"/>
      <c r="D488" s="210"/>
      <c r="E488" s="210"/>
      <c r="F488" s="103"/>
      <c r="G488" s="210">
        <f>SUM(D488:F488)</f>
        <v>0</v>
      </c>
    </row>
    <row r="489" spans="1:7">
      <c r="A489" s="486"/>
      <c r="C489" s="195" t="s">
        <v>243</v>
      </c>
      <c r="D489" s="291"/>
      <c r="E489" s="291"/>
      <c r="F489" s="103"/>
      <c r="G489" s="291">
        <f>SUM(D489:F489)</f>
        <v>0</v>
      </c>
    </row>
    <row r="490" spans="1:7" ht="24">
      <c r="A490" s="486"/>
      <c r="C490" s="196" t="s">
        <v>777</v>
      </c>
      <c r="D490" s="302">
        <f>2857003-100000</f>
        <v>2757003</v>
      </c>
      <c r="E490" s="302"/>
      <c r="F490" s="210">
        <v>172451</v>
      </c>
      <c r="G490" s="302">
        <f>SUM(D490:F490)</f>
        <v>2929454</v>
      </c>
    </row>
    <row r="491" spans="1:7" ht="12" customHeight="1">
      <c r="A491" s="486"/>
      <c r="C491" s="191" t="s">
        <v>121</v>
      </c>
      <c r="D491" s="281">
        <f>1672357-74730</f>
        <v>1597627</v>
      </c>
      <c r="E491" s="281"/>
      <c r="F491" s="515">
        <v>75456</v>
      </c>
      <c r="G491" s="281">
        <f>SUM(D491:F491)</f>
        <v>1673083</v>
      </c>
    </row>
    <row r="492" spans="1:7" ht="12" customHeight="1">
      <c r="A492" s="486"/>
      <c r="C492" s="191"/>
      <c r="D492" s="281"/>
      <c r="E492" s="281"/>
      <c r="F492" s="103"/>
      <c r="G492" s="281">
        <f>SUM(D492:F492)</f>
        <v>0</v>
      </c>
    </row>
    <row r="493" spans="1:7" ht="12" customHeight="1">
      <c r="A493" s="486"/>
      <c r="C493" s="201"/>
      <c r="D493" s="302"/>
      <c r="E493" s="302"/>
      <c r="F493" s="103"/>
      <c r="G493" s="302">
        <f>SUM(D493:F493)</f>
        <v>0</v>
      </c>
    </row>
    <row r="494" spans="1:7" ht="12" customHeight="1">
      <c r="A494" s="486"/>
      <c r="C494" s="195" t="s">
        <v>243</v>
      </c>
      <c r="D494" s="291"/>
      <c r="E494" s="291"/>
      <c r="F494" s="103"/>
      <c r="G494" s="291">
        <f>SUM(D494:F494)</f>
        <v>0</v>
      </c>
    </row>
    <row r="495" spans="1:7" ht="12" customHeight="1">
      <c r="A495" s="486"/>
      <c r="C495" s="196" t="s">
        <v>260</v>
      </c>
      <c r="D495" s="302">
        <v>20780</v>
      </c>
      <c r="E495" s="302"/>
      <c r="F495" s="103"/>
      <c r="G495" s="302">
        <f>SUM(D495:F495)</f>
        <v>20780</v>
      </c>
    </row>
    <row r="496" spans="1:7" ht="12" customHeight="1">
      <c r="A496" s="486"/>
      <c r="C496" s="203"/>
      <c r="D496" s="281"/>
      <c r="E496" s="281"/>
      <c r="F496" s="103"/>
      <c r="G496" s="281">
        <f>SUM(D496:F496)</f>
        <v>0</v>
      </c>
    </row>
    <row r="497" spans="1:7" ht="12" customHeight="1">
      <c r="A497" s="486"/>
      <c r="C497" s="201"/>
      <c r="D497" s="302"/>
      <c r="E497" s="302"/>
      <c r="F497" s="103"/>
      <c r="G497" s="302">
        <f>SUM(D497:F497)</f>
        <v>0</v>
      </c>
    </row>
    <row r="498" spans="1:7" ht="12" customHeight="1">
      <c r="A498" s="486"/>
      <c r="C498" s="195" t="s">
        <v>243</v>
      </c>
      <c r="D498" s="291"/>
      <c r="E498" s="291"/>
      <c r="F498" s="103"/>
      <c r="G498" s="291">
        <f>SUM(D498:F498)</f>
        <v>0</v>
      </c>
    </row>
    <row r="499" spans="1:7" ht="12" customHeight="1">
      <c r="A499" s="486"/>
      <c r="C499" s="196" t="s">
        <v>778</v>
      </c>
      <c r="D499" s="302">
        <f>1486925-290000</f>
        <v>1196925</v>
      </c>
      <c r="E499" s="302"/>
      <c r="F499" s="103">
        <v>65195</v>
      </c>
      <c r="G499" s="302">
        <f>SUM(D499:F499)</f>
        <v>1262120</v>
      </c>
    </row>
    <row r="500" spans="1:7" ht="12" customHeight="1">
      <c r="A500" s="486"/>
      <c r="C500" s="191" t="s">
        <v>121</v>
      </c>
      <c r="D500" s="281">
        <f>928972-180630</f>
        <v>748342</v>
      </c>
      <c r="E500" s="281"/>
      <c r="F500" s="515">
        <v>10673</v>
      </c>
      <c r="G500" s="281">
        <f>SUM(D500:F500)</f>
        <v>759015</v>
      </c>
    </row>
    <row r="501" spans="1:7" ht="12" customHeight="1">
      <c r="A501" s="486"/>
      <c r="C501" s="182"/>
      <c r="D501" s="281"/>
      <c r="E501" s="281"/>
      <c r="F501" s="103"/>
      <c r="G501" s="281">
        <f>SUM(D501:F501)</f>
        <v>0</v>
      </c>
    </row>
    <row r="502" spans="1:7" ht="12" customHeight="1">
      <c r="A502" s="486"/>
      <c r="C502" s="200"/>
      <c r="D502" s="308"/>
      <c r="E502" s="308"/>
      <c r="F502" s="103"/>
      <c r="G502" s="308">
        <f>SUM(D502:F502)</f>
        <v>0</v>
      </c>
    </row>
    <row r="503" spans="1:7" ht="12" customHeight="1">
      <c r="A503" s="486"/>
      <c r="C503" s="195" t="s">
        <v>243</v>
      </c>
      <c r="D503" s="308"/>
      <c r="E503" s="308"/>
      <c r="F503" s="103"/>
      <c r="G503" s="308">
        <f>SUM(D503:F503)</f>
        <v>0</v>
      </c>
    </row>
    <row r="504" spans="1:7" ht="12" customHeight="1">
      <c r="A504" s="486"/>
      <c r="C504" s="196" t="s">
        <v>779</v>
      </c>
      <c r="D504" s="451">
        <v>290000</v>
      </c>
      <c r="E504" s="451"/>
      <c r="F504" s="103">
        <v>50000</v>
      </c>
      <c r="G504" s="451">
        <f>SUM(D504:F504)</f>
        <v>340000</v>
      </c>
    </row>
    <row r="505" spans="1:7" ht="12" customHeight="1">
      <c r="A505" s="486"/>
      <c r="C505" s="191" t="s">
        <v>121</v>
      </c>
      <c r="D505" s="452">
        <v>180630</v>
      </c>
      <c r="E505" s="452"/>
      <c r="F505" s="515">
        <v>15666</v>
      </c>
      <c r="G505" s="452">
        <f>SUM(D505:F505)</f>
        <v>196296</v>
      </c>
    </row>
    <row r="506" spans="1:7" ht="12" customHeight="1">
      <c r="A506" s="486"/>
      <c r="C506" s="191"/>
      <c r="D506" s="452"/>
      <c r="E506" s="452"/>
      <c r="F506" s="103"/>
      <c r="G506" s="452">
        <f>SUM(D506:F506)</f>
        <v>0</v>
      </c>
    </row>
    <row r="507" spans="1:7" ht="12" customHeight="1">
      <c r="A507" s="486"/>
      <c r="C507" s="182"/>
      <c r="D507" s="308"/>
      <c r="E507" s="308"/>
      <c r="F507" s="103"/>
      <c r="G507" s="308">
        <f>SUM(D507:F507)</f>
        <v>0</v>
      </c>
    </row>
    <row r="508" spans="1:7" ht="12" customHeight="1">
      <c r="A508" s="486"/>
      <c r="C508" s="195" t="s">
        <v>243</v>
      </c>
      <c r="D508" s="308"/>
      <c r="E508" s="308"/>
      <c r="F508" s="103"/>
      <c r="G508" s="308">
        <f>SUM(D508:F508)</f>
        <v>0</v>
      </c>
    </row>
    <row r="509" spans="1:7" ht="12" customHeight="1">
      <c r="A509" s="486"/>
      <c r="C509" s="196" t="s">
        <v>780</v>
      </c>
      <c r="D509" s="451">
        <v>100000</v>
      </c>
      <c r="E509" s="451"/>
      <c r="F509" s="103">
        <v>129752</v>
      </c>
      <c r="G509" s="451">
        <f>SUM(D509:F509)</f>
        <v>229752</v>
      </c>
    </row>
    <row r="510" spans="1:7" ht="12" customHeight="1">
      <c r="A510" s="486"/>
      <c r="C510" s="191" t="s">
        <v>121</v>
      </c>
      <c r="D510" s="452">
        <v>74730</v>
      </c>
      <c r="E510" s="452"/>
      <c r="F510" s="515">
        <v>68400</v>
      </c>
      <c r="G510" s="452">
        <f>SUM(D510:F510)</f>
        <v>143130</v>
      </c>
    </row>
    <row r="511" spans="1:7" ht="12" customHeight="1">
      <c r="A511" s="486"/>
      <c r="C511" s="191"/>
      <c r="D511" s="308"/>
      <c r="E511" s="308"/>
      <c r="F511" s="103"/>
      <c r="G511" s="308">
        <f>SUM(D511:F511)</f>
        <v>0</v>
      </c>
    </row>
    <row r="512" spans="1:7" ht="12" customHeight="1">
      <c r="A512" s="486"/>
      <c r="C512" s="204"/>
      <c r="D512" s="309"/>
      <c r="E512" s="309"/>
      <c r="F512" s="103"/>
      <c r="G512" s="309">
        <f>SUM(D512:F512)</f>
        <v>0</v>
      </c>
    </row>
    <row r="513" spans="1:7" ht="12.75" customHeight="1">
      <c r="A513" s="486"/>
      <c r="C513" s="181" t="s">
        <v>261</v>
      </c>
      <c r="D513" s="291">
        <f>D516+D521+D525+D529+D533</f>
        <v>5175620</v>
      </c>
      <c r="E513" s="291">
        <f t="shared" ref="E513:F513" si="15">E516+E521+E525+E529+E533</f>
        <v>0</v>
      </c>
      <c r="F513" s="291">
        <f t="shared" si="15"/>
        <v>-107319</v>
      </c>
      <c r="G513" s="291">
        <f>SUM(D513:F513)</f>
        <v>5068301</v>
      </c>
    </row>
    <row r="514" spans="1:7" ht="12" customHeight="1">
      <c r="A514" s="486"/>
      <c r="C514" s="182" t="s">
        <v>121</v>
      </c>
      <c r="D514" s="281">
        <f>D517</f>
        <v>1615992</v>
      </c>
      <c r="E514" s="281">
        <f t="shared" ref="E514:F514" si="16">E517</f>
        <v>0</v>
      </c>
      <c r="F514" s="281">
        <f t="shared" si="16"/>
        <v>22570</v>
      </c>
      <c r="G514" s="281">
        <f>SUM(D514:F514)</f>
        <v>1638562</v>
      </c>
    </row>
    <row r="515" spans="1:7" ht="12" customHeight="1">
      <c r="A515" s="486"/>
      <c r="C515" s="195" t="s">
        <v>243</v>
      </c>
      <c r="D515" s="291"/>
      <c r="E515" s="291"/>
      <c r="F515" s="103"/>
      <c r="G515" s="291">
        <f>SUM(D515:F515)</f>
        <v>0</v>
      </c>
    </row>
    <row r="516" spans="1:7" ht="12" customHeight="1">
      <c r="A516" s="486"/>
      <c r="C516" s="196" t="s">
        <v>513</v>
      </c>
      <c r="D516" s="302">
        <v>4940490</v>
      </c>
      <c r="E516" s="302"/>
      <c r="F516" s="103">
        <v>-107319</v>
      </c>
      <c r="G516" s="302">
        <f>SUM(D516:F516)</f>
        <v>4833171</v>
      </c>
    </row>
    <row r="517" spans="1:7" ht="12" customHeight="1">
      <c r="A517" s="486"/>
      <c r="C517" s="191" t="s">
        <v>121</v>
      </c>
      <c r="D517" s="281">
        <v>1615992</v>
      </c>
      <c r="E517" s="281"/>
      <c r="F517" s="515">
        <v>22570</v>
      </c>
      <c r="G517" s="281">
        <f>SUM(D517:F517)</f>
        <v>1638562</v>
      </c>
    </row>
    <row r="518" spans="1:7" ht="12" customHeight="1">
      <c r="A518" s="486"/>
      <c r="C518" s="196"/>
      <c r="D518" s="302"/>
      <c r="E518" s="302"/>
      <c r="F518" s="103"/>
      <c r="G518" s="302">
        <f>SUM(D518:F518)</f>
        <v>0</v>
      </c>
    </row>
    <row r="519" spans="1:7" ht="12" customHeight="1">
      <c r="A519" s="486"/>
      <c r="C519" s="198"/>
      <c r="D519" s="210"/>
      <c r="E519" s="210"/>
      <c r="F519" s="103"/>
      <c r="G519" s="210">
        <f>SUM(D519:F519)</f>
        <v>0</v>
      </c>
    </row>
    <row r="520" spans="1:7" ht="12" customHeight="1">
      <c r="A520" s="486"/>
      <c r="C520" s="195" t="s">
        <v>243</v>
      </c>
      <c r="D520" s="291"/>
      <c r="E520" s="291"/>
      <c r="F520" s="103"/>
      <c r="G520" s="291">
        <f>SUM(D520:F520)</f>
        <v>0</v>
      </c>
    </row>
    <row r="521" spans="1:7" ht="12" customHeight="1">
      <c r="A521" s="486"/>
      <c r="C521" s="196" t="s">
        <v>262</v>
      </c>
      <c r="D521" s="302">
        <v>26910</v>
      </c>
      <c r="E521" s="302"/>
      <c r="F521" s="103"/>
      <c r="G521" s="302">
        <f>SUM(D521:F521)</f>
        <v>26910</v>
      </c>
    </row>
    <row r="522" spans="1:7" ht="12" customHeight="1">
      <c r="A522" s="486"/>
      <c r="C522" s="196"/>
      <c r="D522" s="302"/>
      <c r="E522" s="302"/>
      <c r="F522" s="103"/>
      <c r="G522" s="302">
        <f>SUM(D522:F522)</f>
        <v>0</v>
      </c>
    </row>
    <row r="523" spans="1:7" ht="12" customHeight="1">
      <c r="A523" s="486"/>
      <c r="C523" s="200"/>
      <c r="D523" s="308"/>
      <c r="E523" s="308"/>
      <c r="F523" s="103"/>
      <c r="G523" s="308">
        <f>SUM(D523:F523)</f>
        <v>0</v>
      </c>
    </row>
    <row r="524" spans="1:7">
      <c r="A524" s="486"/>
      <c r="C524" s="195" t="s">
        <v>243</v>
      </c>
      <c r="D524" s="291"/>
      <c r="E524" s="291"/>
      <c r="F524" s="103"/>
      <c r="G524" s="291">
        <f>SUM(D524:F524)</f>
        <v>0</v>
      </c>
    </row>
    <row r="525" spans="1:7">
      <c r="A525" s="486"/>
      <c r="C525" s="196" t="s">
        <v>263</v>
      </c>
      <c r="D525" s="302">
        <v>137000</v>
      </c>
      <c r="E525" s="302"/>
      <c r="F525" s="103"/>
      <c r="G525" s="302">
        <f>SUM(D525:F525)</f>
        <v>137000</v>
      </c>
    </row>
    <row r="526" spans="1:7">
      <c r="A526" s="486"/>
      <c r="C526" s="200"/>
      <c r="D526" s="308"/>
      <c r="E526" s="308"/>
      <c r="F526" s="103"/>
      <c r="G526" s="308">
        <f>SUM(D526:F526)</f>
        <v>0</v>
      </c>
    </row>
    <row r="527" spans="1:7">
      <c r="A527" s="486"/>
      <c r="C527" s="200"/>
      <c r="D527" s="308"/>
      <c r="E527" s="308"/>
      <c r="F527" s="103"/>
      <c r="G527" s="308">
        <f>SUM(D527:F527)</f>
        <v>0</v>
      </c>
    </row>
    <row r="528" spans="1:7">
      <c r="A528" s="486"/>
      <c r="C528" s="195" t="s">
        <v>243</v>
      </c>
      <c r="D528" s="291"/>
      <c r="E528" s="291"/>
      <c r="F528" s="103"/>
      <c r="G528" s="291">
        <f>SUM(D528:F528)</f>
        <v>0</v>
      </c>
    </row>
    <row r="529" spans="1:7">
      <c r="A529" s="486"/>
      <c r="C529" s="196" t="s">
        <v>264</v>
      </c>
      <c r="D529" s="302">
        <v>16220</v>
      </c>
      <c r="E529" s="302"/>
      <c r="F529" s="103"/>
      <c r="G529" s="302">
        <f>SUM(D529:F529)</f>
        <v>16220</v>
      </c>
    </row>
    <row r="530" spans="1:7">
      <c r="A530" s="486"/>
      <c r="C530" s="200"/>
      <c r="D530" s="308"/>
      <c r="E530" s="308"/>
      <c r="F530" s="103"/>
      <c r="G530" s="308">
        <f>SUM(D530:F530)</f>
        <v>0</v>
      </c>
    </row>
    <row r="531" spans="1:7">
      <c r="A531" s="486"/>
      <c r="C531" s="200"/>
      <c r="D531" s="308"/>
      <c r="E531" s="308"/>
      <c r="F531" s="103"/>
      <c r="G531" s="308">
        <f>SUM(D531:F531)</f>
        <v>0</v>
      </c>
    </row>
    <row r="532" spans="1:7">
      <c r="A532" s="486"/>
      <c r="C532" s="195" t="s">
        <v>243</v>
      </c>
      <c r="D532" s="291"/>
      <c r="E532" s="291"/>
      <c r="F532" s="103"/>
      <c r="G532" s="291">
        <f>SUM(D532:F532)</f>
        <v>0</v>
      </c>
    </row>
    <row r="533" spans="1:7">
      <c r="A533" s="486"/>
      <c r="C533" s="196" t="s">
        <v>265</v>
      </c>
      <c r="D533" s="302">
        <f>50000+5000</f>
        <v>55000</v>
      </c>
      <c r="E533" s="302"/>
      <c r="F533" s="103"/>
      <c r="G533" s="302">
        <f>SUM(D533:F533)</f>
        <v>55000</v>
      </c>
    </row>
    <row r="534" spans="1:7">
      <c r="A534" s="486"/>
      <c r="C534" s="200"/>
      <c r="D534" s="308"/>
      <c r="E534" s="308"/>
      <c r="F534" s="103"/>
      <c r="G534" s="308">
        <f>SUM(D534:F534)</f>
        <v>0</v>
      </c>
    </row>
    <row r="535" spans="1:7">
      <c r="A535" s="486"/>
      <c r="C535" s="200"/>
      <c r="D535" s="308"/>
      <c r="E535" s="308"/>
      <c r="F535" s="103"/>
      <c r="G535" s="308">
        <f>SUM(D535:F535)</f>
        <v>0</v>
      </c>
    </row>
    <row r="536" spans="1:7">
      <c r="A536" s="486"/>
      <c r="C536" s="181" t="s">
        <v>266</v>
      </c>
      <c r="D536" s="291">
        <f t="shared" ref="D536:F536" si="17">D539+D543+D547+D552+D557+D562+D566+D571+D576+D581</f>
        <v>4235033</v>
      </c>
      <c r="E536" s="291">
        <f t="shared" si="17"/>
        <v>0</v>
      </c>
      <c r="F536" s="291">
        <f t="shared" si="17"/>
        <v>-9352</v>
      </c>
      <c r="G536" s="291">
        <f>SUM(D536:F536)</f>
        <v>4225681</v>
      </c>
    </row>
    <row r="537" spans="1:7">
      <c r="A537" s="486"/>
      <c r="C537" s="182" t="s">
        <v>121</v>
      </c>
      <c r="D537" s="281">
        <f t="shared" ref="D537:F537" si="18">D544+D548+D558+D563+D567+D572+D577+D582</f>
        <v>2402703</v>
      </c>
      <c r="E537" s="281">
        <f t="shared" si="18"/>
        <v>0</v>
      </c>
      <c r="F537" s="281">
        <f t="shared" si="18"/>
        <v>46294</v>
      </c>
      <c r="G537" s="281">
        <f>SUM(D537:F537)</f>
        <v>2448997</v>
      </c>
    </row>
    <row r="538" spans="1:7">
      <c r="A538" s="486"/>
      <c r="C538" s="195" t="s">
        <v>243</v>
      </c>
      <c r="D538" s="291"/>
      <c r="E538" s="291"/>
      <c r="F538" s="103"/>
      <c r="G538" s="291">
        <f>SUM(D538:F538)</f>
        <v>0</v>
      </c>
    </row>
    <row r="539" spans="1:7">
      <c r="A539" s="486"/>
      <c r="C539" s="196" t="s">
        <v>997</v>
      </c>
      <c r="D539" s="302">
        <v>39680</v>
      </c>
      <c r="E539" s="302"/>
      <c r="F539" s="103"/>
      <c r="G539" s="302">
        <f>SUM(D539:F539)</f>
        <v>39680</v>
      </c>
    </row>
    <row r="540" spans="1:7">
      <c r="A540" s="486"/>
      <c r="C540" s="196"/>
      <c r="D540" s="302"/>
      <c r="E540" s="302"/>
      <c r="F540" s="103"/>
      <c r="G540" s="302">
        <f>SUM(D540:F540)</f>
        <v>0</v>
      </c>
    </row>
    <row r="541" spans="1:7">
      <c r="A541" s="486"/>
      <c r="C541" s="201"/>
      <c r="D541" s="302"/>
      <c r="E541" s="302"/>
      <c r="F541" s="103"/>
      <c r="G541" s="302">
        <f>SUM(D541:F541)</f>
        <v>0</v>
      </c>
    </row>
    <row r="542" spans="1:7">
      <c r="A542" s="486"/>
      <c r="C542" s="195" t="s">
        <v>243</v>
      </c>
      <c r="D542" s="291"/>
      <c r="E542" s="291"/>
      <c r="F542" s="103"/>
      <c r="G542" s="291">
        <f>SUM(D542:F542)</f>
        <v>0</v>
      </c>
    </row>
    <row r="543" spans="1:7">
      <c r="A543" s="486"/>
      <c r="C543" s="196" t="s">
        <v>267</v>
      </c>
      <c r="D543" s="302">
        <v>541350</v>
      </c>
      <c r="E543" s="302"/>
      <c r="F543" s="103">
        <v>3100</v>
      </c>
      <c r="G543" s="302">
        <f>SUM(D543:F543)</f>
        <v>544450</v>
      </c>
    </row>
    <row r="544" spans="1:7">
      <c r="A544" s="486"/>
      <c r="C544" s="191" t="s">
        <v>121</v>
      </c>
      <c r="D544" s="281">
        <v>366135</v>
      </c>
      <c r="E544" s="281"/>
      <c r="F544" s="103"/>
      <c r="G544" s="281">
        <f>SUM(D544:F544)</f>
        <v>366135</v>
      </c>
    </row>
    <row r="545" spans="1:7">
      <c r="A545" s="486"/>
      <c r="C545" s="196"/>
      <c r="D545" s="302"/>
      <c r="E545" s="302"/>
      <c r="F545" s="103"/>
      <c r="G545" s="281">
        <f>SUM(D545:F545)</f>
        <v>0</v>
      </c>
    </row>
    <row r="546" spans="1:7">
      <c r="A546" s="486"/>
      <c r="C546" s="195" t="s">
        <v>243</v>
      </c>
      <c r="D546" s="291"/>
      <c r="E546" s="291"/>
      <c r="F546" s="103"/>
      <c r="G546" s="291">
        <f>SUM(D546:F546)</f>
        <v>0</v>
      </c>
    </row>
    <row r="547" spans="1:7">
      <c r="A547" s="486"/>
      <c r="C547" s="196" t="s">
        <v>930</v>
      </c>
      <c r="D547" s="302">
        <v>76616</v>
      </c>
      <c r="E547" s="302"/>
      <c r="F547" s="103">
        <v>-16040</v>
      </c>
      <c r="G547" s="302">
        <f>SUM(D547:F547)</f>
        <v>60576</v>
      </c>
    </row>
    <row r="548" spans="1:7">
      <c r="A548" s="486"/>
      <c r="C548" s="191" t="s">
        <v>121</v>
      </c>
      <c r="D548" s="281">
        <v>26842</v>
      </c>
      <c r="E548" s="281"/>
      <c r="F548" s="103"/>
      <c r="G548" s="281">
        <f>SUM(D548:F548)</f>
        <v>26842</v>
      </c>
    </row>
    <row r="549" spans="1:7">
      <c r="A549" s="486"/>
      <c r="C549" s="196"/>
      <c r="D549" s="302"/>
      <c r="E549" s="302"/>
      <c r="F549" s="103"/>
      <c r="G549" s="302">
        <f>SUM(D549:F549)</f>
        <v>0</v>
      </c>
    </row>
    <row r="550" spans="1:7">
      <c r="A550" s="486"/>
      <c r="C550" s="200"/>
      <c r="D550" s="291"/>
      <c r="E550" s="291"/>
      <c r="F550" s="103"/>
      <c r="G550" s="291">
        <f>SUM(D550:F550)</f>
        <v>0</v>
      </c>
    </row>
    <row r="551" spans="1:7">
      <c r="A551" s="486"/>
      <c r="C551" s="195" t="s">
        <v>243</v>
      </c>
      <c r="D551" s="291"/>
      <c r="E551" s="291"/>
      <c r="F551" s="103"/>
      <c r="G551" s="291">
        <f>SUM(D551:F551)</f>
        <v>0</v>
      </c>
    </row>
    <row r="552" spans="1:7">
      <c r="A552" s="486"/>
      <c r="C552" s="196" t="s">
        <v>268</v>
      </c>
      <c r="D552" s="302">
        <f>165836-8660+6000</f>
        <v>163176</v>
      </c>
      <c r="E552" s="302"/>
      <c r="F552" s="103">
        <v>8000</v>
      </c>
      <c r="G552" s="302">
        <f>SUM(D552:F552)</f>
        <v>171176</v>
      </c>
    </row>
    <row r="553" spans="1:7">
      <c r="A553" s="486"/>
      <c r="C553" s="203" t="s">
        <v>269</v>
      </c>
      <c r="D553" s="281">
        <v>45545</v>
      </c>
      <c r="E553" s="281"/>
      <c r="F553" s="103"/>
      <c r="G553" s="281">
        <f>SUM(D553:F553)</f>
        <v>45545</v>
      </c>
    </row>
    <row r="554" spans="1:7">
      <c r="A554" s="486"/>
      <c r="C554" s="196"/>
      <c r="D554" s="302"/>
      <c r="E554" s="302"/>
      <c r="F554" s="103"/>
      <c r="G554" s="302">
        <f>SUM(D554:F554)</f>
        <v>0</v>
      </c>
    </row>
    <row r="555" spans="1:7">
      <c r="A555" s="486"/>
      <c r="C555" s="201"/>
      <c r="D555" s="302"/>
      <c r="E555" s="302"/>
      <c r="F555" s="103"/>
      <c r="G555" s="302">
        <f>SUM(D555:F555)</f>
        <v>0</v>
      </c>
    </row>
    <row r="556" spans="1:7">
      <c r="A556" s="486"/>
      <c r="C556" s="195" t="s">
        <v>243</v>
      </c>
      <c r="D556" s="291"/>
      <c r="E556" s="291"/>
      <c r="F556" s="103"/>
      <c r="G556" s="291">
        <f>SUM(D556:F556)</f>
        <v>0</v>
      </c>
    </row>
    <row r="557" spans="1:7" ht="24">
      <c r="A557" s="486"/>
      <c r="C557" s="196" t="s">
        <v>270</v>
      </c>
      <c r="D557" s="302">
        <v>1082982</v>
      </c>
      <c r="E557" s="302"/>
      <c r="F557" s="210">
        <v>14746</v>
      </c>
      <c r="G557" s="302">
        <f>SUM(D557:F557)</f>
        <v>1097728</v>
      </c>
    </row>
    <row r="558" spans="1:7">
      <c r="A558" s="486"/>
      <c r="C558" s="191" t="s">
        <v>121</v>
      </c>
      <c r="D558" s="281">
        <v>622584</v>
      </c>
      <c r="E558" s="281"/>
      <c r="F558" s="515">
        <v>46294</v>
      </c>
      <c r="G558" s="281">
        <f>SUM(D558:F558)</f>
        <v>668878</v>
      </c>
    </row>
    <row r="559" spans="1:7">
      <c r="A559" s="486"/>
      <c r="C559" s="196"/>
      <c r="D559" s="302"/>
      <c r="E559" s="302"/>
      <c r="F559" s="103"/>
      <c r="G559" s="302">
        <f>SUM(D559:F559)</f>
        <v>0</v>
      </c>
    </row>
    <row r="560" spans="1:7">
      <c r="A560" s="486"/>
      <c r="C560" s="207"/>
      <c r="D560" s="311"/>
      <c r="E560" s="311"/>
      <c r="F560" s="103"/>
      <c r="G560" s="311">
        <f>SUM(D560:F560)</f>
        <v>0</v>
      </c>
    </row>
    <row r="561" spans="1:7" ht="12.75" customHeight="1">
      <c r="A561" s="486"/>
      <c r="C561" s="195" t="s">
        <v>243</v>
      </c>
      <c r="D561" s="291"/>
      <c r="E561" s="291"/>
      <c r="F561" s="103"/>
      <c r="G561" s="291">
        <f>SUM(D561:F561)</f>
        <v>0</v>
      </c>
    </row>
    <row r="562" spans="1:7">
      <c r="A562" s="486"/>
      <c r="C562" s="196" t="s">
        <v>998</v>
      </c>
      <c r="D562" s="302">
        <f>106958+8660</f>
        <v>115618</v>
      </c>
      <c r="E562" s="302"/>
      <c r="F562" s="103">
        <v>-26802</v>
      </c>
      <c r="G562" s="302">
        <f>SUM(D562:F562)</f>
        <v>88816</v>
      </c>
    </row>
    <row r="563" spans="1:7">
      <c r="A563" s="486"/>
      <c r="C563" s="191" t="s">
        <v>121</v>
      </c>
      <c r="D563" s="281">
        <f>45039+6470</f>
        <v>51509</v>
      </c>
      <c r="E563" s="281"/>
      <c r="F563" s="103"/>
      <c r="G563" s="281">
        <f>SUM(D563:F563)</f>
        <v>51509</v>
      </c>
    </row>
    <row r="564" spans="1:7" ht="13.5" customHeight="1">
      <c r="A564" s="486"/>
      <c r="C564" s="196"/>
      <c r="D564" s="302"/>
      <c r="E564" s="302"/>
      <c r="F564" s="103"/>
      <c r="G564" s="302">
        <f>SUM(D564:F564)</f>
        <v>0</v>
      </c>
    </row>
    <row r="565" spans="1:7">
      <c r="A565" s="486"/>
      <c r="C565" s="195" t="s">
        <v>243</v>
      </c>
      <c r="D565" s="291"/>
      <c r="E565" s="291"/>
      <c r="F565" s="103"/>
      <c r="G565" s="291">
        <f>SUM(D565:F565)</f>
        <v>0</v>
      </c>
    </row>
    <row r="566" spans="1:7" ht="24">
      <c r="A566" s="486"/>
      <c r="C566" s="196" t="s">
        <v>999</v>
      </c>
      <c r="D566" s="302">
        <v>980462</v>
      </c>
      <c r="E566" s="302"/>
      <c r="F566" s="210">
        <v>-2536</v>
      </c>
      <c r="G566" s="302">
        <f>SUM(D566:F566)</f>
        <v>977926</v>
      </c>
    </row>
    <row r="567" spans="1:7">
      <c r="A567" s="486"/>
      <c r="C567" s="191" t="s">
        <v>121</v>
      </c>
      <c r="D567" s="281">
        <v>599534</v>
      </c>
      <c r="E567" s="281"/>
      <c r="F567" s="103"/>
      <c r="G567" s="281">
        <f>SUM(D567:F567)</f>
        <v>599534</v>
      </c>
    </row>
    <row r="568" spans="1:7">
      <c r="A568" s="486"/>
      <c r="C568" s="196"/>
      <c r="D568" s="302"/>
      <c r="E568" s="302"/>
      <c r="F568" s="103"/>
      <c r="G568" s="302">
        <f>SUM(D568:F568)</f>
        <v>0</v>
      </c>
    </row>
    <row r="569" spans="1:7">
      <c r="A569" s="486"/>
      <c r="C569" s="198"/>
      <c r="D569" s="210"/>
      <c r="E569" s="210"/>
      <c r="F569" s="103"/>
      <c r="G569" s="210">
        <f>SUM(D569:F569)</f>
        <v>0</v>
      </c>
    </row>
    <row r="570" spans="1:7">
      <c r="A570" s="486"/>
      <c r="C570" s="195" t="s">
        <v>243</v>
      </c>
      <c r="D570" s="291"/>
      <c r="E570" s="291"/>
      <c r="F570" s="103"/>
      <c r="G570" s="291">
        <f>SUM(D570:F570)</f>
        <v>0</v>
      </c>
    </row>
    <row r="571" spans="1:7">
      <c r="A571" s="486"/>
      <c r="C571" s="209" t="s">
        <v>271</v>
      </c>
      <c r="D571" s="312">
        <v>1086059</v>
      </c>
      <c r="E571" s="312"/>
      <c r="F571" s="103">
        <v>10180</v>
      </c>
      <c r="G571" s="312">
        <f>SUM(D571:F571)</f>
        <v>1096239</v>
      </c>
    </row>
    <row r="572" spans="1:7">
      <c r="A572" s="486"/>
      <c r="C572" s="191" t="s">
        <v>121</v>
      </c>
      <c r="D572" s="281">
        <v>701395</v>
      </c>
      <c r="E572" s="281"/>
      <c r="F572" s="103"/>
      <c r="G572" s="281">
        <f>SUM(D572:F572)</f>
        <v>701395</v>
      </c>
    </row>
    <row r="573" spans="1:7">
      <c r="A573" s="486"/>
      <c r="C573" s="196"/>
      <c r="D573" s="302"/>
      <c r="E573" s="302"/>
      <c r="F573" s="103"/>
      <c r="G573" s="302">
        <f>SUM(D573:F573)</f>
        <v>0</v>
      </c>
    </row>
    <row r="574" spans="1:7">
      <c r="A574" s="486"/>
      <c r="C574" s="200"/>
      <c r="D574" s="308"/>
      <c r="E574" s="308"/>
      <c r="F574" s="103"/>
      <c r="G574" s="308">
        <f>SUM(D574:F574)</f>
        <v>0</v>
      </c>
    </row>
    <row r="575" spans="1:7">
      <c r="A575" s="486"/>
      <c r="C575" s="195" t="s">
        <v>243</v>
      </c>
      <c r="D575" s="291"/>
      <c r="E575" s="291"/>
      <c r="F575" s="103"/>
      <c r="G575" s="291">
        <f>SUM(D575:F575)</f>
        <v>0</v>
      </c>
    </row>
    <row r="576" spans="1:7" ht="24">
      <c r="A576" s="486"/>
      <c r="C576" s="196" t="s">
        <v>1000</v>
      </c>
      <c r="D576" s="302">
        <v>44090</v>
      </c>
      <c r="E576" s="302"/>
      <c r="F576" s="103"/>
      <c r="G576" s="302">
        <f>SUM(D576:F576)</f>
        <v>44090</v>
      </c>
    </row>
    <row r="577" spans="1:7">
      <c r="A577" s="486"/>
      <c r="C577" s="191" t="s">
        <v>121</v>
      </c>
      <c r="D577" s="281">
        <v>28704</v>
      </c>
      <c r="E577" s="281"/>
      <c r="F577" s="103"/>
      <c r="G577" s="281">
        <f>SUM(D577:F577)</f>
        <v>28704</v>
      </c>
    </row>
    <row r="578" spans="1:7">
      <c r="A578" s="486"/>
      <c r="C578" s="191"/>
      <c r="D578" s="281"/>
      <c r="E578" s="281"/>
      <c r="F578" s="103"/>
      <c r="G578" s="281">
        <f>SUM(D578:F578)</f>
        <v>0</v>
      </c>
    </row>
    <row r="579" spans="1:7">
      <c r="A579" s="486"/>
      <c r="C579" s="207"/>
      <c r="D579" s="311"/>
      <c r="E579" s="311"/>
      <c r="F579" s="103"/>
      <c r="G579" s="311">
        <f>SUM(D579:F579)</f>
        <v>0</v>
      </c>
    </row>
    <row r="580" spans="1:7">
      <c r="A580" s="486"/>
      <c r="C580" s="195" t="s">
        <v>243</v>
      </c>
      <c r="D580" s="291"/>
      <c r="E580" s="291"/>
      <c r="F580" s="103"/>
      <c r="G580" s="291">
        <f>SUM(D580:F580)</f>
        <v>0</v>
      </c>
    </row>
    <row r="581" spans="1:7">
      <c r="A581" s="486"/>
      <c r="C581" s="196" t="s">
        <v>1001</v>
      </c>
      <c r="D581" s="302">
        <v>105000</v>
      </c>
      <c r="E581" s="302"/>
      <c r="F581" s="103"/>
      <c r="G581" s="302">
        <f>SUM(D581:F581)</f>
        <v>105000</v>
      </c>
    </row>
    <row r="582" spans="1:7">
      <c r="A582" s="486"/>
      <c r="C582" s="191" t="s">
        <v>121</v>
      </c>
      <c r="D582" s="281">
        <v>6000</v>
      </c>
      <c r="E582" s="281"/>
      <c r="F582" s="103"/>
      <c r="G582" s="281">
        <f>SUM(D582:F582)</f>
        <v>6000</v>
      </c>
    </row>
    <row r="583" spans="1:7">
      <c r="A583" s="486"/>
      <c r="C583" s="196"/>
      <c r="D583" s="302"/>
      <c r="E583" s="302"/>
      <c r="F583" s="103"/>
      <c r="G583" s="302">
        <f>SUM(D583:F583)</f>
        <v>0</v>
      </c>
    </row>
    <row r="584" spans="1:7" ht="13.5" customHeight="1">
      <c r="A584" s="486"/>
      <c r="C584" s="201"/>
      <c r="D584" s="302"/>
      <c r="E584" s="302"/>
      <c r="F584" s="103"/>
      <c r="G584" s="302">
        <f>SUM(D584:F584)</f>
        <v>0</v>
      </c>
    </row>
    <row r="585" spans="1:7" ht="13.5" customHeight="1">
      <c r="A585" s="486"/>
      <c r="C585" s="183" t="s">
        <v>272</v>
      </c>
      <c r="D585" s="299">
        <f>D588+D592+D596+D600+D604+D610+D614+D618</f>
        <v>1558768</v>
      </c>
      <c r="E585" s="299">
        <f t="shared" ref="E585:F585" si="19">E588+E592+E596+E600+E604+E610+E614+E618</f>
        <v>0</v>
      </c>
      <c r="F585" s="299">
        <f t="shared" si="19"/>
        <v>49700</v>
      </c>
      <c r="G585" s="299">
        <f>SUM(D585:F585)</f>
        <v>1608468</v>
      </c>
    </row>
    <row r="586" spans="1:7" ht="13.5" customHeight="1">
      <c r="A586" s="486"/>
      <c r="C586" s="182" t="s">
        <v>121</v>
      </c>
      <c r="D586" s="281">
        <f>D619</f>
        <v>578662</v>
      </c>
      <c r="E586" s="281">
        <f t="shared" ref="E586:F586" si="20">E619</f>
        <v>0</v>
      </c>
      <c r="F586" s="281">
        <f t="shared" si="20"/>
        <v>12700</v>
      </c>
      <c r="G586" s="281">
        <f>SUM(D586:F586)</f>
        <v>591362</v>
      </c>
    </row>
    <row r="587" spans="1:7" ht="13.5" customHeight="1">
      <c r="A587" s="486"/>
      <c r="C587" s="195" t="s">
        <v>243</v>
      </c>
      <c r="D587" s="291"/>
      <c r="E587" s="291"/>
      <c r="F587" s="103"/>
      <c r="G587" s="291">
        <f>SUM(D587:F587)</f>
        <v>0</v>
      </c>
    </row>
    <row r="588" spans="1:7" ht="13.5" customHeight="1">
      <c r="A588" s="486"/>
      <c r="C588" s="196" t="s">
        <v>273</v>
      </c>
      <c r="D588" s="302">
        <v>196070</v>
      </c>
      <c r="E588" s="302"/>
      <c r="F588" s="103">
        <v>15000</v>
      </c>
      <c r="G588" s="302">
        <f>SUM(D588:F588)</f>
        <v>211070</v>
      </c>
    </row>
    <row r="589" spans="1:7" ht="13.5" customHeight="1">
      <c r="A589" s="486"/>
      <c r="C589" s="196"/>
      <c r="D589" s="302"/>
      <c r="E589" s="302"/>
      <c r="F589" s="103"/>
      <c r="G589" s="302">
        <f>SUM(D589:F589)</f>
        <v>0</v>
      </c>
    </row>
    <row r="590" spans="1:7">
      <c r="A590" s="486"/>
      <c r="C590" s="211"/>
      <c r="D590" s="313"/>
      <c r="E590" s="313"/>
      <c r="F590" s="103"/>
      <c r="G590" s="313">
        <f>SUM(D590:F590)</f>
        <v>0</v>
      </c>
    </row>
    <row r="591" spans="1:7">
      <c r="A591" s="486"/>
      <c r="C591" s="195" t="s">
        <v>243</v>
      </c>
      <c r="D591" s="291"/>
      <c r="E591" s="291"/>
      <c r="F591" s="103"/>
      <c r="G591" s="291">
        <f>SUM(D591:F591)</f>
        <v>0</v>
      </c>
    </row>
    <row r="592" spans="1:7">
      <c r="A592" s="486"/>
      <c r="C592" s="196" t="s">
        <v>274</v>
      </c>
      <c r="D592" s="302">
        <v>150810</v>
      </c>
      <c r="E592" s="302"/>
      <c r="F592" s="103">
        <v>12000</v>
      </c>
      <c r="G592" s="302">
        <f>SUM(D592:F592)</f>
        <v>162810</v>
      </c>
    </row>
    <row r="593" spans="1:7">
      <c r="A593" s="486"/>
      <c r="C593" s="196"/>
      <c r="D593" s="302"/>
      <c r="E593" s="302"/>
      <c r="F593" s="103"/>
      <c r="G593" s="302">
        <f>SUM(D593:F593)</f>
        <v>0</v>
      </c>
    </row>
    <row r="594" spans="1:7">
      <c r="A594" s="486"/>
      <c r="C594" s="211"/>
      <c r="D594" s="313"/>
      <c r="E594" s="313"/>
      <c r="F594" s="103"/>
      <c r="G594" s="313">
        <f>SUM(D594:F594)</f>
        <v>0</v>
      </c>
    </row>
    <row r="595" spans="1:7">
      <c r="A595" s="486"/>
      <c r="C595" s="195" t="s">
        <v>243</v>
      </c>
      <c r="D595" s="291"/>
      <c r="E595" s="291"/>
      <c r="F595" s="103"/>
      <c r="G595" s="291">
        <f>SUM(D595:F595)</f>
        <v>0</v>
      </c>
    </row>
    <row r="596" spans="1:7">
      <c r="A596" s="486"/>
      <c r="C596" s="196" t="s">
        <v>275</v>
      </c>
      <c r="D596" s="302">
        <v>155050</v>
      </c>
      <c r="E596" s="302"/>
      <c r="F596" s="103"/>
      <c r="G596" s="302">
        <f>SUM(D596:F596)</f>
        <v>155050</v>
      </c>
    </row>
    <row r="597" spans="1:7">
      <c r="A597" s="486"/>
      <c r="C597" s="196"/>
      <c r="D597" s="302"/>
      <c r="E597" s="302"/>
      <c r="F597" s="103"/>
      <c r="G597" s="302">
        <f>SUM(D597:F597)</f>
        <v>0</v>
      </c>
    </row>
    <row r="598" spans="1:7">
      <c r="A598" s="486"/>
      <c r="C598" s="198"/>
      <c r="D598" s="210"/>
      <c r="E598" s="210"/>
      <c r="F598" s="103"/>
      <c r="G598" s="210">
        <f>SUM(D598:F598)</f>
        <v>0</v>
      </c>
    </row>
    <row r="599" spans="1:7">
      <c r="A599" s="486"/>
      <c r="C599" s="195" t="s">
        <v>243</v>
      </c>
      <c r="D599" s="291"/>
      <c r="E599" s="291"/>
      <c r="F599" s="103"/>
      <c r="G599" s="291">
        <f>SUM(D599:F599)</f>
        <v>0</v>
      </c>
    </row>
    <row r="600" spans="1:7">
      <c r="A600" s="486"/>
      <c r="C600" s="196" t="s">
        <v>276</v>
      </c>
      <c r="D600" s="302">
        <v>13000</v>
      </c>
      <c r="E600" s="302"/>
      <c r="F600" s="103"/>
      <c r="G600" s="302">
        <f>SUM(D600:F600)</f>
        <v>13000</v>
      </c>
    </row>
    <row r="601" spans="1:7">
      <c r="A601" s="486"/>
      <c r="C601" s="196"/>
      <c r="D601" s="302"/>
      <c r="E601" s="302"/>
      <c r="F601" s="103"/>
      <c r="G601" s="302">
        <f>SUM(D601:F601)</f>
        <v>0</v>
      </c>
    </row>
    <row r="602" spans="1:7">
      <c r="A602" s="486"/>
      <c r="C602" s="198"/>
      <c r="D602" s="210"/>
      <c r="E602" s="210"/>
      <c r="F602" s="103"/>
      <c r="G602" s="210">
        <f>SUM(D602:F602)</f>
        <v>0</v>
      </c>
    </row>
    <row r="603" spans="1:7">
      <c r="A603" s="486"/>
      <c r="C603" s="195" t="s">
        <v>243</v>
      </c>
      <c r="D603" s="291"/>
      <c r="E603" s="291"/>
      <c r="F603" s="103"/>
      <c r="G603" s="291">
        <f>SUM(D603:F603)</f>
        <v>0</v>
      </c>
    </row>
    <row r="604" spans="1:7">
      <c r="A604" s="486"/>
      <c r="C604" s="196" t="s">
        <v>277</v>
      </c>
      <c r="D604" s="302">
        <f>91750+30000</f>
        <v>121750</v>
      </c>
      <c r="E604" s="302"/>
      <c r="F604" s="103"/>
      <c r="G604" s="302">
        <f>SUM(D604:F604)</f>
        <v>121750</v>
      </c>
    </row>
    <row r="605" spans="1:7">
      <c r="A605" s="486"/>
      <c r="C605" s="564" t="s">
        <v>278</v>
      </c>
      <c r="D605" s="208">
        <v>48150</v>
      </c>
      <c r="E605" s="208"/>
      <c r="F605" s="103"/>
      <c r="G605" s="208">
        <f>SUM(D605:F605)</f>
        <v>48150</v>
      </c>
    </row>
    <row r="606" spans="1:7">
      <c r="A606" s="486"/>
      <c r="C606" s="213" t="s">
        <v>279</v>
      </c>
      <c r="D606" s="208">
        <f>43600+30000</f>
        <v>73600</v>
      </c>
      <c r="E606" s="208"/>
      <c r="F606" s="103"/>
      <c r="G606" s="208">
        <f>SUM(D606:F606)</f>
        <v>73600</v>
      </c>
    </row>
    <row r="607" spans="1:7">
      <c r="A607" s="486"/>
      <c r="C607" s="213"/>
      <c r="D607" s="208"/>
      <c r="E607" s="208"/>
      <c r="F607" s="103"/>
      <c r="G607" s="208">
        <f>SUM(D607:F607)</f>
        <v>0</v>
      </c>
    </row>
    <row r="608" spans="1:7">
      <c r="A608" s="486"/>
      <c r="C608" s="205"/>
      <c r="D608" s="303"/>
      <c r="E608" s="303"/>
      <c r="F608" s="103"/>
      <c r="G608" s="303">
        <f>SUM(D608:F608)</f>
        <v>0</v>
      </c>
    </row>
    <row r="609" spans="1:7">
      <c r="A609" s="486"/>
      <c r="C609" s="195" t="s">
        <v>243</v>
      </c>
      <c r="D609" s="291"/>
      <c r="E609" s="291"/>
      <c r="F609" s="103"/>
      <c r="G609" s="291">
        <f>SUM(D609:F609)</f>
        <v>0</v>
      </c>
    </row>
    <row r="610" spans="1:7">
      <c r="A610" s="486"/>
      <c r="C610" s="196" t="s">
        <v>280</v>
      </c>
      <c r="D610" s="302">
        <v>14170</v>
      </c>
      <c r="E610" s="302"/>
      <c r="F610" s="103">
        <v>10000</v>
      </c>
      <c r="G610" s="302">
        <f>SUM(D610:F610)</f>
        <v>24170</v>
      </c>
    </row>
    <row r="611" spans="1:7">
      <c r="A611" s="486"/>
      <c r="C611" s="196"/>
      <c r="D611" s="302"/>
      <c r="E611" s="302"/>
      <c r="F611" s="103"/>
      <c r="G611" s="302">
        <f>SUM(D611:F611)</f>
        <v>0</v>
      </c>
    </row>
    <row r="612" spans="1:7">
      <c r="A612" s="486"/>
      <c r="C612" s="211"/>
      <c r="D612" s="313"/>
      <c r="E612" s="313"/>
      <c r="F612" s="103"/>
      <c r="G612" s="313">
        <f>SUM(D612:F612)</f>
        <v>0</v>
      </c>
    </row>
    <row r="613" spans="1:7">
      <c r="A613" s="486"/>
      <c r="C613" s="195" t="s">
        <v>243</v>
      </c>
      <c r="D613" s="291"/>
      <c r="E613" s="291"/>
      <c r="F613" s="103"/>
      <c r="G613" s="291">
        <f>SUM(D613:F613)</f>
        <v>0</v>
      </c>
    </row>
    <row r="614" spans="1:7">
      <c r="A614" s="486"/>
      <c r="C614" s="196" t="s">
        <v>281</v>
      </c>
      <c r="D614" s="302">
        <v>55000</v>
      </c>
      <c r="E614" s="302"/>
      <c r="F614" s="103"/>
      <c r="G614" s="302">
        <f>SUM(D614:F614)</f>
        <v>55000</v>
      </c>
    </row>
    <row r="615" spans="1:7">
      <c r="A615" s="486"/>
      <c r="C615" s="196"/>
      <c r="D615" s="302"/>
      <c r="E615" s="302"/>
      <c r="F615" s="103"/>
      <c r="G615" s="302">
        <f>SUM(D615:F615)</f>
        <v>0</v>
      </c>
    </row>
    <row r="616" spans="1:7">
      <c r="A616" s="486"/>
      <c r="C616" s="212"/>
      <c r="D616" s="314"/>
      <c r="E616" s="314"/>
      <c r="F616" s="103"/>
      <c r="G616" s="314">
        <f>SUM(D616:F616)</f>
        <v>0</v>
      </c>
    </row>
    <row r="617" spans="1:7">
      <c r="A617" s="486"/>
      <c r="C617" s="195" t="s">
        <v>243</v>
      </c>
      <c r="D617" s="291"/>
      <c r="E617" s="291"/>
      <c r="F617" s="103"/>
      <c r="G617" s="291">
        <f>SUM(D617:F617)</f>
        <v>0</v>
      </c>
    </row>
    <row r="618" spans="1:7">
      <c r="A618" s="486"/>
      <c r="C618" s="196" t="s">
        <v>282</v>
      </c>
      <c r="D618" s="302">
        <v>852918</v>
      </c>
      <c r="E618" s="302"/>
      <c r="F618" s="103">
        <v>12700</v>
      </c>
      <c r="G618" s="302">
        <f>SUM(D618:F618)</f>
        <v>865618</v>
      </c>
    </row>
    <row r="619" spans="1:7">
      <c r="A619" s="486"/>
      <c r="C619" s="191" t="s">
        <v>121</v>
      </c>
      <c r="D619" s="281">
        <v>578662</v>
      </c>
      <c r="E619" s="281"/>
      <c r="F619" s="515">
        <v>12700</v>
      </c>
      <c r="G619" s="281">
        <f>SUM(D619:F619)</f>
        <v>591362</v>
      </c>
    </row>
    <row r="620" spans="1:7">
      <c r="A620" s="486"/>
      <c r="C620" s="196"/>
      <c r="D620" s="302"/>
      <c r="E620" s="302"/>
      <c r="F620" s="103"/>
      <c r="G620" s="302">
        <f>SUM(D620:F620)</f>
        <v>0</v>
      </c>
    </row>
    <row r="621" spans="1:7" ht="11.25" customHeight="1">
      <c r="A621" s="486"/>
      <c r="C621" s="212"/>
      <c r="D621" s="314"/>
      <c r="E621" s="314"/>
      <c r="F621" s="103"/>
      <c r="G621" s="314">
        <f>SUM(D621:F621)</f>
        <v>0</v>
      </c>
    </row>
    <row r="622" spans="1:7">
      <c r="A622" s="486"/>
      <c r="C622" s="76" t="s">
        <v>244</v>
      </c>
      <c r="D622" s="291">
        <f>D624+D700</f>
        <v>29859703</v>
      </c>
      <c r="E622" s="291">
        <f>E624+E700</f>
        <v>36470</v>
      </c>
      <c r="F622" s="291">
        <f>F624+F700</f>
        <v>1268928</v>
      </c>
      <c r="G622" s="291">
        <f>SUM(D622:F622)</f>
        <v>31165101</v>
      </c>
    </row>
    <row r="623" spans="1:7">
      <c r="A623" s="486"/>
      <c r="C623" s="214"/>
      <c r="D623" s="288"/>
      <c r="E623" s="288"/>
      <c r="F623" s="103"/>
      <c r="G623" s="288">
        <f>SUM(D623:F623)</f>
        <v>0</v>
      </c>
    </row>
    <row r="624" spans="1:7">
      <c r="A624" s="486"/>
      <c r="C624" s="215" t="s">
        <v>1002</v>
      </c>
      <c r="D624" s="77">
        <f>D626+D629+D631+D634+D657+D655+D670+D687+D692+D696+D666</f>
        <v>18590714</v>
      </c>
      <c r="E624" s="77">
        <f>E626+E629+E631+E634+E657+E655+E670+E687+E692+E696+E666</f>
        <v>36470</v>
      </c>
      <c r="F624" s="77">
        <f>F626+F629+F631+F634+F657+F655+F670+F687+F692+F696+F666+F664+F668+F673+F676+F679+F683</f>
        <v>863935</v>
      </c>
      <c r="G624" s="77">
        <f>SUM(D624:F624)</f>
        <v>19491119</v>
      </c>
    </row>
    <row r="625" spans="1:7">
      <c r="A625" s="486"/>
      <c r="C625" s="214"/>
      <c r="D625" s="288"/>
      <c r="E625" s="288"/>
      <c r="F625" s="103"/>
      <c r="G625" s="288">
        <f>SUM(D625:F625)</f>
        <v>0</v>
      </c>
    </row>
    <row r="626" spans="1:7">
      <c r="A626" s="486" t="s">
        <v>773</v>
      </c>
      <c r="B626" s="5" t="s">
        <v>251</v>
      </c>
      <c r="C626" s="216" t="s">
        <v>1003</v>
      </c>
      <c r="D626" s="280">
        <v>1057345</v>
      </c>
      <c r="E626" s="280">
        <v>36470</v>
      </c>
      <c r="F626" s="103">
        <v>-532</v>
      </c>
      <c r="G626" s="280">
        <f>SUM(D626:F626)</f>
        <v>1093283</v>
      </c>
    </row>
    <row r="627" spans="1:7">
      <c r="A627" s="486"/>
      <c r="C627" s="171" t="s">
        <v>121</v>
      </c>
      <c r="D627" s="281">
        <v>627889</v>
      </c>
      <c r="E627" s="281">
        <v>27257</v>
      </c>
      <c r="F627" s="515">
        <v>-398</v>
      </c>
      <c r="G627" s="281">
        <f>SUM(D627:F627)</f>
        <v>654748</v>
      </c>
    </row>
    <row r="628" spans="1:7">
      <c r="A628" s="486"/>
      <c r="C628" s="207"/>
      <c r="D628" s="311"/>
      <c r="E628" s="311"/>
      <c r="F628" s="103"/>
      <c r="G628" s="311">
        <f>SUM(D628:F628)</f>
        <v>0</v>
      </c>
    </row>
    <row r="629" spans="1:7">
      <c r="A629" s="486" t="s">
        <v>773</v>
      </c>
      <c r="B629" s="5" t="s">
        <v>251</v>
      </c>
      <c r="C629" s="216" t="s">
        <v>284</v>
      </c>
      <c r="D629" s="280">
        <v>1913360</v>
      </c>
      <c r="E629" s="280"/>
      <c r="F629" s="103"/>
      <c r="G629" s="280">
        <f>SUM(D629:F629)</f>
        <v>1913360</v>
      </c>
    </row>
    <row r="630" spans="1:7">
      <c r="A630" s="486"/>
      <c r="C630" s="198"/>
      <c r="D630" s="210"/>
      <c r="E630" s="210"/>
      <c r="F630" s="103"/>
      <c r="G630" s="210">
        <f>SUM(D630:F630)</f>
        <v>0</v>
      </c>
    </row>
    <row r="631" spans="1:7">
      <c r="A631" s="486" t="s">
        <v>773</v>
      </c>
      <c r="B631" s="5" t="s">
        <v>251</v>
      </c>
      <c r="C631" s="216" t="s">
        <v>285</v>
      </c>
      <c r="D631" s="280">
        <v>1424552</v>
      </c>
      <c r="E631" s="280"/>
      <c r="F631" s="103">
        <v>-3700</v>
      </c>
      <c r="G631" s="280">
        <f>SUM(D631:F631)</f>
        <v>1420852</v>
      </c>
    </row>
    <row r="632" spans="1:7">
      <c r="A632" s="486"/>
      <c r="C632" s="171" t="s">
        <v>121</v>
      </c>
      <c r="D632" s="281">
        <v>768488</v>
      </c>
      <c r="E632" s="281"/>
      <c r="F632" s="515">
        <v>-3700</v>
      </c>
      <c r="G632" s="281">
        <f>SUM(D632:F632)</f>
        <v>764788</v>
      </c>
    </row>
    <row r="633" spans="1:7">
      <c r="A633" s="486"/>
      <c r="C633" s="171"/>
      <c r="D633" s="281"/>
      <c r="E633" s="281"/>
      <c r="F633" s="103"/>
      <c r="G633" s="281">
        <f>SUM(D633:F633)</f>
        <v>0</v>
      </c>
    </row>
    <row r="634" spans="1:7">
      <c r="A634" s="486" t="s">
        <v>773</v>
      </c>
      <c r="B634" s="5" t="s">
        <v>251</v>
      </c>
      <c r="C634" s="216" t="s">
        <v>286</v>
      </c>
      <c r="D634" s="280">
        <f>D636+D645+D650</f>
        <v>13634180</v>
      </c>
      <c r="E634" s="280">
        <f t="shared" ref="E634:F634" si="21">E636+E645+E650</f>
        <v>0</v>
      </c>
      <c r="F634" s="280">
        <f t="shared" si="21"/>
        <v>542842</v>
      </c>
      <c r="G634" s="280">
        <f>SUM(D634:F634)</f>
        <v>14177022</v>
      </c>
    </row>
    <row r="635" spans="1:7">
      <c r="A635" s="486"/>
      <c r="C635" s="216"/>
      <c r="D635" s="280"/>
      <c r="E635" s="280"/>
      <c r="F635" s="103"/>
      <c r="G635" s="280">
        <f>SUM(D635:F635)</f>
        <v>0</v>
      </c>
    </row>
    <row r="636" spans="1:7">
      <c r="A636" s="486"/>
      <c r="C636" s="217" t="s">
        <v>287</v>
      </c>
      <c r="D636" s="280">
        <f>D637+D638+D639+D640+D641</f>
        <v>4343060</v>
      </c>
      <c r="E636" s="280">
        <f t="shared" ref="E636" si="22">E637+E638+E639+E640+E641</f>
        <v>0</v>
      </c>
      <c r="F636" s="280">
        <f>F637+F638+F639+F640+F641+F642+F643</f>
        <v>42842</v>
      </c>
      <c r="G636" s="280">
        <f>SUM(D636:F636)</f>
        <v>4385902</v>
      </c>
    </row>
    <row r="637" spans="1:7">
      <c r="A637" s="486"/>
      <c r="C637" s="192" t="s">
        <v>288</v>
      </c>
      <c r="D637" s="289">
        <v>482750</v>
      </c>
      <c r="E637" s="289"/>
      <c r="F637" s="103"/>
      <c r="G637" s="289">
        <f>SUM(D637:F637)</f>
        <v>482750</v>
      </c>
    </row>
    <row r="638" spans="1:7">
      <c r="A638" s="486"/>
      <c r="C638" s="192" t="s">
        <v>289</v>
      </c>
      <c r="D638" s="289">
        <v>1392000</v>
      </c>
      <c r="E638" s="289"/>
      <c r="F638" s="103"/>
      <c r="G638" s="289">
        <f>SUM(D638:F638)</f>
        <v>1392000</v>
      </c>
    </row>
    <row r="639" spans="1:7">
      <c r="A639" s="486"/>
      <c r="C639" s="218" t="s">
        <v>290</v>
      </c>
      <c r="D639" s="208">
        <v>1216000</v>
      </c>
      <c r="E639" s="208"/>
      <c r="F639" s="103"/>
      <c r="G639" s="208">
        <f>SUM(D639:F639)</f>
        <v>1216000</v>
      </c>
    </row>
    <row r="640" spans="1:7">
      <c r="A640" s="486"/>
      <c r="C640" s="218" t="s">
        <v>291</v>
      </c>
      <c r="D640" s="208">
        <v>1234070</v>
      </c>
      <c r="E640" s="208"/>
      <c r="F640" s="103"/>
      <c r="G640" s="208">
        <f>SUM(D640:F640)</f>
        <v>1234070</v>
      </c>
    </row>
    <row r="641" spans="1:7">
      <c r="A641" s="486"/>
      <c r="C641" s="192" t="s">
        <v>292</v>
      </c>
      <c r="D641" s="289">
        <v>18240</v>
      </c>
      <c r="E641" s="289"/>
      <c r="F641" s="103"/>
      <c r="G641" s="289">
        <f>SUM(D641:F641)</f>
        <v>18240</v>
      </c>
    </row>
    <row r="642" spans="1:7">
      <c r="A642" s="486"/>
      <c r="C642" s="192" t="s">
        <v>920</v>
      </c>
      <c r="D642" s="289"/>
      <c r="E642" s="289"/>
      <c r="F642" s="620">
        <v>27322</v>
      </c>
      <c r="G642" s="289">
        <f>SUM(D642:F642)</f>
        <v>27322</v>
      </c>
    </row>
    <row r="643" spans="1:7">
      <c r="A643" s="486"/>
      <c r="C643" s="192" t="s">
        <v>921</v>
      </c>
      <c r="D643" s="289"/>
      <c r="E643" s="289"/>
      <c r="F643" s="620">
        <v>15520</v>
      </c>
      <c r="G643" s="289">
        <f>SUM(D643:F643)</f>
        <v>15520</v>
      </c>
    </row>
    <row r="644" spans="1:7">
      <c r="A644" s="486"/>
      <c r="C644" s="219"/>
      <c r="D644" s="4"/>
      <c r="E644" s="4"/>
      <c r="F644" s="103"/>
      <c r="G644" s="4">
        <f>SUM(D644:F644)</f>
        <v>0</v>
      </c>
    </row>
    <row r="645" spans="1:7">
      <c r="A645" s="486"/>
      <c r="C645" s="217" t="s">
        <v>293</v>
      </c>
      <c r="D645" s="280">
        <f>D646</f>
        <v>9160030</v>
      </c>
      <c r="E645" s="280">
        <f t="shared" ref="E645:F645" si="23">E646</f>
        <v>0</v>
      </c>
      <c r="F645" s="280">
        <f t="shared" si="23"/>
        <v>500000</v>
      </c>
      <c r="G645" s="280">
        <f>SUM(D645:F645)</f>
        <v>9660030</v>
      </c>
    </row>
    <row r="646" spans="1:7">
      <c r="A646" s="486"/>
      <c r="C646" s="192" t="s">
        <v>792</v>
      </c>
      <c r="D646" s="289">
        <f>D647+D648</f>
        <v>9160030</v>
      </c>
      <c r="E646" s="289"/>
      <c r="F646" s="620">
        <f>F647</f>
        <v>500000</v>
      </c>
      <c r="G646" s="289">
        <f>SUM(D646:F646)</f>
        <v>9660030</v>
      </c>
    </row>
    <row r="647" spans="1:7">
      <c r="A647" s="486"/>
      <c r="C647" s="220" t="s">
        <v>294</v>
      </c>
      <c r="D647" s="288">
        <v>9154530</v>
      </c>
      <c r="E647" s="288"/>
      <c r="F647" s="620">
        <v>500000</v>
      </c>
      <c r="G647" s="288">
        <f>SUM(D647:F647)</f>
        <v>9654530</v>
      </c>
    </row>
    <row r="648" spans="1:7">
      <c r="A648" s="486"/>
      <c r="C648" s="221" t="s">
        <v>295</v>
      </c>
      <c r="D648" s="289">
        <v>5500</v>
      </c>
      <c r="E648" s="289"/>
      <c r="F648" s="103"/>
      <c r="G648" s="289">
        <f>SUM(D648:F648)</f>
        <v>5500</v>
      </c>
    </row>
    <row r="649" spans="1:7">
      <c r="A649" s="486"/>
      <c r="C649" s="192"/>
      <c r="D649" s="289"/>
      <c r="E649" s="289"/>
      <c r="F649" s="103"/>
      <c r="G649" s="289">
        <f>SUM(D649:F649)</f>
        <v>0</v>
      </c>
    </row>
    <row r="650" spans="1:7">
      <c r="A650" s="486"/>
      <c r="C650" s="217" t="s">
        <v>296</v>
      </c>
      <c r="D650" s="280">
        <f>D651+D652+D653</f>
        <v>131090</v>
      </c>
      <c r="E650" s="280">
        <f t="shared" ref="E650:F650" si="24">E651+E652+E653</f>
        <v>0</v>
      </c>
      <c r="F650" s="280">
        <f t="shared" si="24"/>
        <v>0</v>
      </c>
      <c r="G650" s="280">
        <f>SUM(D650:F650)</f>
        <v>131090</v>
      </c>
    </row>
    <row r="651" spans="1:7">
      <c r="A651" s="486"/>
      <c r="C651" s="192" t="s">
        <v>297</v>
      </c>
      <c r="D651" s="289">
        <v>101190</v>
      </c>
      <c r="E651" s="289"/>
      <c r="F651" s="103"/>
      <c r="G651" s="289">
        <f>SUM(D651:F651)</f>
        <v>101190</v>
      </c>
    </row>
    <row r="652" spans="1:7">
      <c r="A652" s="486"/>
      <c r="C652" s="192" t="s">
        <v>298</v>
      </c>
      <c r="D652" s="289">
        <v>20000</v>
      </c>
      <c r="E652" s="289"/>
      <c r="F652" s="103"/>
      <c r="G652" s="289">
        <f>SUM(D652:F652)</f>
        <v>20000</v>
      </c>
    </row>
    <row r="653" spans="1:7">
      <c r="A653" s="486"/>
      <c r="C653" s="192" t="s">
        <v>516</v>
      </c>
      <c r="D653" s="289">
        <v>9900</v>
      </c>
      <c r="E653" s="289"/>
      <c r="F653" s="103"/>
      <c r="G653" s="289">
        <f>SUM(D653:F653)</f>
        <v>9900</v>
      </c>
    </row>
    <row r="654" spans="1:7">
      <c r="A654" s="486"/>
      <c r="C654" s="192"/>
      <c r="D654" s="289"/>
      <c r="E654" s="289"/>
      <c r="F654" s="103"/>
      <c r="G654" s="289">
        <f>SUM(D654:F654)</f>
        <v>0</v>
      </c>
    </row>
    <row r="655" spans="1:7">
      <c r="A655" s="486" t="s">
        <v>773</v>
      </c>
      <c r="B655" s="5" t="s">
        <v>251</v>
      </c>
      <c r="C655" s="216" t="s">
        <v>517</v>
      </c>
      <c r="D655" s="280">
        <v>100000</v>
      </c>
      <c r="E655" s="280"/>
      <c r="F655" s="103"/>
      <c r="G655" s="280">
        <f>SUM(D655:F655)</f>
        <v>100000</v>
      </c>
    </row>
    <row r="656" spans="1:7">
      <c r="A656" s="486"/>
      <c r="C656" s="216"/>
      <c r="D656" s="280"/>
      <c r="E656" s="280"/>
      <c r="F656" s="103"/>
      <c r="G656" s="280">
        <f>SUM(D656:F656)</f>
        <v>0</v>
      </c>
    </row>
    <row r="657" spans="1:7">
      <c r="A657" s="486" t="s">
        <v>773</v>
      </c>
      <c r="B657" s="5" t="s">
        <v>251</v>
      </c>
      <c r="C657" s="216" t="s">
        <v>299</v>
      </c>
      <c r="D657" s="280">
        <f>D658+D661+D662+D659</f>
        <v>87830</v>
      </c>
      <c r="E657" s="280">
        <f t="shared" ref="E657" si="25">E658+E661+E662+E659</f>
        <v>0</v>
      </c>
      <c r="F657" s="280">
        <f>F658+F661+F662+F659+F660</f>
        <v>5000</v>
      </c>
      <c r="G657" s="280">
        <f>SUM(D657:F657)</f>
        <v>92830</v>
      </c>
    </row>
    <row r="658" spans="1:7">
      <c r="A658" s="486"/>
      <c r="C658" s="222" t="s">
        <v>300</v>
      </c>
      <c r="D658" s="300">
        <v>17570</v>
      </c>
      <c r="E658" s="300"/>
      <c r="F658" s="103"/>
      <c r="G658" s="300">
        <f>SUM(D658:F658)</f>
        <v>17570</v>
      </c>
    </row>
    <row r="659" spans="1:7">
      <c r="A659" s="486"/>
      <c r="C659" s="223" t="s">
        <v>794</v>
      </c>
      <c r="D659" s="300">
        <v>5000</v>
      </c>
      <c r="E659" s="300"/>
      <c r="F659" s="103"/>
      <c r="G659" s="300">
        <f>SUM(D659:F659)</f>
        <v>5000</v>
      </c>
    </row>
    <row r="660" spans="1:7">
      <c r="A660" s="486"/>
      <c r="C660" s="223" t="s">
        <v>958</v>
      </c>
      <c r="D660" s="300"/>
      <c r="E660" s="300"/>
      <c r="F660" s="620">
        <v>5000</v>
      </c>
      <c r="G660" s="300">
        <f>SUM(D660:F660)</f>
        <v>5000</v>
      </c>
    </row>
    <row r="661" spans="1:7">
      <c r="A661" s="486"/>
      <c r="C661" s="223" t="s">
        <v>301</v>
      </c>
      <c r="D661" s="300">
        <v>30260</v>
      </c>
      <c r="E661" s="300"/>
      <c r="F661" s="103"/>
      <c r="G661" s="300">
        <f>SUM(D661:F661)</f>
        <v>30260</v>
      </c>
    </row>
    <row r="662" spans="1:7">
      <c r="A662" s="486"/>
      <c r="C662" s="224" t="s">
        <v>302</v>
      </c>
      <c r="D662" s="316">
        <v>35000</v>
      </c>
      <c r="E662" s="316"/>
      <c r="F662" s="103"/>
      <c r="G662" s="316">
        <f>SUM(D662:F662)</f>
        <v>35000</v>
      </c>
    </row>
    <row r="663" spans="1:7">
      <c r="A663" s="486"/>
      <c r="C663" s="224"/>
      <c r="D663" s="316"/>
      <c r="E663" s="316"/>
      <c r="F663" s="103"/>
      <c r="G663" s="316">
        <f>SUM(D663:F663)</f>
        <v>0</v>
      </c>
    </row>
    <row r="664" spans="1:7">
      <c r="A664" s="486" t="s">
        <v>773</v>
      </c>
      <c r="B664" s="5" t="s">
        <v>251</v>
      </c>
      <c r="C664" s="621" t="s">
        <v>922</v>
      </c>
      <c r="D664" s="316"/>
      <c r="E664" s="316"/>
      <c r="F664" s="103">
        <v>9000</v>
      </c>
      <c r="G664" s="335">
        <f>SUM(D664:F664)</f>
        <v>9000</v>
      </c>
    </row>
    <row r="665" spans="1:7">
      <c r="A665" s="486"/>
      <c r="C665" s="224"/>
      <c r="D665" s="316"/>
      <c r="E665" s="316"/>
      <c r="F665" s="103"/>
      <c r="G665" s="316">
        <f>SUM(D665:F665)</f>
        <v>0</v>
      </c>
    </row>
    <row r="666" spans="1:7">
      <c r="A666" s="486" t="s">
        <v>773</v>
      </c>
      <c r="B666" s="5" t="s">
        <v>251</v>
      </c>
      <c r="C666" s="227" t="s">
        <v>791</v>
      </c>
      <c r="D666" s="335">
        <v>20000</v>
      </c>
      <c r="E666" s="335"/>
      <c r="F666" s="103"/>
      <c r="G666" s="335">
        <f>SUM(D666:F666)</f>
        <v>20000</v>
      </c>
    </row>
    <row r="667" spans="1:7">
      <c r="A667" s="486"/>
      <c r="C667" s="224"/>
      <c r="D667" s="316"/>
      <c r="E667" s="316"/>
      <c r="F667" s="103"/>
      <c r="G667" s="335">
        <f>SUM(D667:F667)</f>
        <v>0</v>
      </c>
    </row>
    <row r="668" spans="1:7">
      <c r="A668" s="486" t="s">
        <v>773</v>
      </c>
      <c r="B668" s="5" t="s">
        <v>251</v>
      </c>
      <c r="C668" s="621" t="s">
        <v>923</v>
      </c>
      <c r="D668" s="316"/>
      <c r="E668" s="316"/>
      <c r="F668" s="103">
        <v>227632</v>
      </c>
      <c r="G668" s="335">
        <f>SUM(D668:F668)</f>
        <v>227632</v>
      </c>
    </row>
    <row r="669" spans="1:7">
      <c r="A669" s="486"/>
      <c r="C669" s="224"/>
      <c r="D669" s="316"/>
      <c r="E669" s="316"/>
      <c r="F669" s="103"/>
      <c r="G669" s="316">
        <f>SUM(D669:F669)</f>
        <v>0</v>
      </c>
    </row>
    <row r="670" spans="1:7" ht="25.5">
      <c r="A670" s="486" t="s">
        <v>773</v>
      </c>
      <c r="B670" s="5" t="s">
        <v>251</v>
      </c>
      <c r="C670" s="227" t="s">
        <v>929</v>
      </c>
      <c r="D670" s="280">
        <v>50000</v>
      </c>
      <c r="E670" s="280"/>
      <c r="F670" s="210">
        <v>30185</v>
      </c>
      <c r="G670" s="280">
        <f>SUM(D670:F670)</f>
        <v>80185</v>
      </c>
    </row>
    <row r="671" spans="1:7">
      <c r="A671" s="486"/>
      <c r="C671" s="171" t="s">
        <v>121</v>
      </c>
      <c r="D671" s="281">
        <v>16800</v>
      </c>
      <c r="E671" s="281"/>
      <c r="F671" s="103"/>
      <c r="G671" s="281">
        <f>SUM(D671:F671)</f>
        <v>16800</v>
      </c>
    </row>
    <row r="672" spans="1:7">
      <c r="A672" s="486"/>
      <c r="C672" s="473"/>
      <c r="D672" s="281"/>
      <c r="E672" s="281"/>
      <c r="F672" s="103"/>
      <c r="G672" s="281">
        <f>SUM(D672:F672)</f>
        <v>0</v>
      </c>
    </row>
    <row r="673" spans="1:7">
      <c r="A673" s="486" t="s">
        <v>773</v>
      </c>
      <c r="B673" s="5" t="s">
        <v>251</v>
      </c>
      <c r="C673" s="473" t="s">
        <v>924</v>
      </c>
      <c r="D673" s="281"/>
      <c r="E673" s="281"/>
      <c r="F673" s="103">
        <v>7000</v>
      </c>
      <c r="G673" s="280">
        <f>SUM(D673:F673)</f>
        <v>7000</v>
      </c>
    </row>
    <row r="674" spans="1:7">
      <c r="A674" s="622"/>
      <c r="B674" s="623"/>
      <c r="C674" s="171" t="s">
        <v>121</v>
      </c>
      <c r="D674" s="281"/>
      <c r="E674" s="281"/>
      <c r="F674" s="515">
        <v>3900</v>
      </c>
      <c r="G674" s="281">
        <f>SUM(D674:F674)</f>
        <v>3900</v>
      </c>
    </row>
    <row r="675" spans="1:7">
      <c r="A675" s="486"/>
      <c r="C675" s="171"/>
      <c r="D675" s="281"/>
      <c r="E675" s="281"/>
      <c r="F675" s="103"/>
      <c r="G675" s="281">
        <f>SUM(D675:F675)</f>
        <v>0</v>
      </c>
    </row>
    <row r="676" spans="1:7" ht="25.5">
      <c r="A676" s="486" t="s">
        <v>773</v>
      </c>
      <c r="B676" s="5" t="s">
        <v>251</v>
      </c>
      <c r="C676" s="537" t="s">
        <v>925</v>
      </c>
      <c r="D676" s="281"/>
      <c r="E676" s="281"/>
      <c r="F676" s="210">
        <v>5000</v>
      </c>
      <c r="G676" s="280">
        <f>SUM(D676:F676)</f>
        <v>5000</v>
      </c>
    </row>
    <row r="677" spans="1:7">
      <c r="A677" s="622"/>
      <c r="B677" s="623"/>
      <c r="C677" s="171" t="s">
        <v>121</v>
      </c>
      <c r="D677" s="281"/>
      <c r="E677" s="281"/>
      <c r="F677" s="515">
        <v>3730</v>
      </c>
      <c r="G677" s="281">
        <f>SUM(D677:F677)</f>
        <v>3730</v>
      </c>
    </row>
    <row r="678" spans="1:7">
      <c r="A678" s="486"/>
      <c r="C678" s="172"/>
      <c r="D678" s="281"/>
      <c r="E678" s="281"/>
      <c r="F678" s="103"/>
      <c r="G678" s="281">
        <f>SUM(D678:F678)</f>
        <v>0</v>
      </c>
    </row>
    <row r="679" spans="1:7" ht="25.5">
      <c r="A679" s="486" t="s">
        <v>773</v>
      </c>
      <c r="B679" s="5" t="s">
        <v>251</v>
      </c>
      <c r="C679" s="538" t="s">
        <v>926</v>
      </c>
      <c r="D679" s="281"/>
      <c r="E679" s="281"/>
      <c r="F679" s="210">
        <v>7508</v>
      </c>
      <c r="G679" s="280">
        <f>SUM(D679:F679)</f>
        <v>7508</v>
      </c>
    </row>
    <row r="680" spans="1:7">
      <c r="A680" s="486"/>
      <c r="C680" s="536"/>
      <c r="D680" s="281"/>
      <c r="E680" s="281"/>
      <c r="F680" s="103"/>
      <c r="G680" s="281">
        <f>SUM(D680:F680)</f>
        <v>0</v>
      </c>
    </row>
    <row r="681" spans="1:7">
      <c r="A681" s="622"/>
      <c r="B681" s="623"/>
      <c r="C681" s="172" t="s">
        <v>464</v>
      </c>
      <c r="D681" s="281"/>
      <c r="E681" s="281"/>
      <c r="F681" s="515">
        <v>7508</v>
      </c>
      <c r="G681" s="281">
        <f>SUM(D681:F681)</f>
        <v>7508</v>
      </c>
    </row>
    <row r="682" spans="1:7">
      <c r="A682" s="486"/>
      <c r="C682" s="473"/>
      <c r="D682" s="281"/>
      <c r="E682" s="281"/>
      <c r="F682" s="103"/>
      <c r="G682" s="281">
        <f>SUM(D682:F682)</f>
        <v>0</v>
      </c>
    </row>
    <row r="683" spans="1:7" ht="25.5">
      <c r="A683" s="486" t="s">
        <v>773</v>
      </c>
      <c r="B683" s="5" t="s">
        <v>251</v>
      </c>
      <c r="C683" s="538" t="s">
        <v>927</v>
      </c>
      <c r="D683" s="281"/>
      <c r="E683" s="281"/>
      <c r="F683" s="210">
        <v>34000</v>
      </c>
      <c r="G683" s="280">
        <f>SUM(D683:F683)</f>
        <v>34000</v>
      </c>
    </row>
    <row r="684" spans="1:7">
      <c r="A684" s="486"/>
      <c r="C684" s="536"/>
      <c r="D684" s="281"/>
      <c r="E684" s="281"/>
      <c r="F684" s="103"/>
      <c r="G684" s="281">
        <f>SUM(D684:F684)</f>
        <v>0</v>
      </c>
    </row>
    <row r="685" spans="1:7">
      <c r="A685" s="622"/>
      <c r="B685" s="623"/>
      <c r="C685" s="172" t="s">
        <v>464</v>
      </c>
      <c r="D685" s="281"/>
      <c r="E685" s="281"/>
      <c r="F685" s="515">
        <v>34000</v>
      </c>
      <c r="G685" s="281">
        <f>SUM(D685:F685)</f>
        <v>34000</v>
      </c>
    </row>
    <row r="686" spans="1:7">
      <c r="A686" s="486"/>
      <c r="C686" s="171"/>
      <c r="D686" s="281"/>
      <c r="E686" s="281"/>
      <c r="F686" s="103"/>
      <c r="G686" s="281">
        <f>SUM(D686:F686)</f>
        <v>0</v>
      </c>
    </row>
    <row r="687" spans="1:7" ht="25.5">
      <c r="A687" s="486" t="s">
        <v>773</v>
      </c>
      <c r="B687" s="5" t="s">
        <v>251</v>
      </c>
      <c r="C687" s="455" t="s">
        <v>799</v>
      </c>
      <c r="D687" s="280">
        <v>95622</v>
      </c>
      <c r="E687" s="280"/>
      <c r="F687" s="103"/>
      <c r="G687" s="280">
        <f>SUM(D687:F687)</f>
        <v>95622</v>
      </c>
    </row>
    <row r="688" spans="1:7">
      <c r="A688" s="486"/>
      <c r="C688" s="171" t="s">
        <v>121</v>
      </c>
      <c r="D688" s="281">
        <v>51830</v>
      </c>
      <c r="E688" s="281"/>
      <c r="F688" s="103"/>
      <c r="G688" s="281">
        <f>SUM(D688:F688)</f>
        <v>51830</v>
      </c>
    </row>
    <row r="689" spans="1:7">
      <c r="A689" s="486"/>
      <c r="C689" s="171"/>
      <c r="D689" s="281"/>
      <c r="E689" s="281"/>
      <c r="F689" s="103"/>
      <c r="G689" s="281">
        <f>SUM(D689:F689)</f>
        <v>0</v>
      </c>
    </row>
    <row r="690" spans="1:7">
      <c r="A690" s="486"/>
      <c r="C690" s="172" t="s">
        <v>464</v>
      </c>
      <c r="D690" s="281">
        <v>95622</v>
      </c>
      <c r="E690" s="281"/>
      <c r="F690" s="103"/>
      <c r="G690" s="281">
        <f>SUM(D690:F690)</f>
        <v>95622</v>
      </c>
    </row>
    <row r="691" spans="1:7">
      <c r="A691" s="486"/>
      <c r="C691" s="172"/>
      <c r="D691" s="281"/>
      <c r="E691" s="281"/>
      <c r="F691" s="103"/>
      <c r="G691" s="281">
        <f>SUM(D691:F691)</f>
        <v>0</v>
      </c>
    </row>
    <row r="692" spans="1:7" ht="12.6" customHeight="1">
      <c r="A692" s="486" t="s">
        <v>773</v>
      </c>
      <c r="B692" s="5" t="s">
        <v>251</v>
      </c>
      <c r="C692" s="455" t="s">
        <v>800</v>
      </c>
      <c r="D692" s="280">
        <v>180625</v>
      </c>
      <c r="E692" s="280"/>
      <c r="F692" s="103"/>
      <c r="G692" s="280">
        <f>SUM(D692:F692)</f>
        <v>180625</v>
      </c>
    </row>
    <row r="693" spans="1:7">
      <c r="A693" s="486"/>
      <c r="C693" s="171"/>
      <c r="D693" s="281"/>
      <c r="E693" s="281"/>
      <c r="F693" s="103"/>
      <c r="G693" s="281">
        <f>SUM(D693:F693)</f>
        <v>0</v>
      </c>
    </row>
    <row r="694" spans="1:7">
      <c r="A694" s="486"/>
      <c r="C694" s="172" t="s">
        <v>464</v>
      </c>
      <c r="D694" s="281">
        <v>180625</v>
      </c>
      <c r="E694" s="281"/>
      <c r="F694" s="103"/>
      <c r="G694" s="281">
        <f>SUM(D694:F694)</f>
        <v>180625</v>
      </c>
    </row>
    <row r="695" spans="1:7">
      <c r="A695" s="486"/>
      <c r="C695" s="172"/>
      <c r="D695" s="281"/>
      <c r="E695" s="281"/>
      <c r="F695" s="103"/>
      <c r="G695" s="281">
        <f>SUM(D695:F695)</f>
        <v>0</v>
      </c>
    </row>
    <row r="696" spans="1:7" ht="12.6" customHeight="1">
      <c r="A696" s="486" t="s">
        <v>773</v>
      </c>
      <c r="B696" s="5" t="s">
        <v>251</v>
      </c>
      <c r="C696" s="455" t="s">
        <v>801</v>
      </c>
      <c r="D696" s="280">
        <v>27200</v>
      </c>
      <c r="E696" s="280"/>
      <c r="F696" s="103"/>
      <c r="G696" s="280">
        <f>SUM(D696:F696)</f>
        <v>27200</v>
      </c>
    </row>
    <row r="697" spans="1:7">
      <c r="A697" s="486"/>
      <c r="C697" s="171"/>
      <c r="D697" s="281"/>
      <c r="E697" s="281"/>
      <c r="F697" s="103"/>
      <c r="G697" s="281">
        <f>SUM(D697:F697)</f>
        <v>0</v>
      </c>
    </row>
    <row r="698" spans="1:7">
      <c r="A698" s="486"/>
      <c r="C698" s="172" t="s">
        <v>464</v>
      </c>
      <c r="D698" s="281">
        <v>27200</v>
      </c>
      <c r="E698" s="281"/>
      <c r="F698" s="103"/>
      <c r="G698" s="281">
        <f>SUM(D698:F698)</f>
        <v>27200</v>
      </c>
    </row>
    <row r="699" spans="1:7">
      <c r="A699" s="486"/>
      <c r="C699" s="223"/>
      <c r="D699" s="300"/>
      <c r="E699" s="300"/>
      <c r="F699" s="103"/>
      <c r="G699" s="300">
        <f>SUM(D699:F699)</f>
        <v>0</v>
      </c>
    </row>
    <row r="700" spans="1:7">
      <c r="A700" s="486" t="s">
        <v>774</v>
      </c>
      <c r="B700" s="5" t="s">
        <v>251</v>
      </c>
      <c r="C700" s="225" t="s">
        <v>888</v>
      </c>
      <c r="D700" s="317">
        <f>D702+D705+D710+D712+D716+D718+D720+D722+D724+D726+D728</f>
        <v>11268989</v>
      </c>
      <c r="E700" s="317">
        <f t="shared" ref="E700" si="26">E702+E705+E710+E712+E716+E718+E720+E722+E724+E726+E728</f>
        <v>0</v>
      </c>
      <c r="F700" s="317">
        <f>F702+F705+F710+F712+F716+F718+F720+F722+F724+F726+F728+F714</f>
        <v>404993</v>
      </c>
      <c r="G700" s="317">
        <f>SUM(D700:F700)</f>
        <v>11673982</v>
      </c>
    </row>
    <row r="701" spans="1:7">
      <c r="A701" s="486"/>
      <c r="C701" s="225"/>
      <c r="D701" s="317"/>
      <c r="E701" s="317"/>
      <c r="F701" s="103"/>
      <c r="G701" s="317">
        <f>SUM(D701:F701)</f>
        <v>0</v>
      </c>
    </row>
    <row r="702" spans="1:7">
      <c r="A702" s="486"/>
      <c r="C702" s="216" t="s">
        <v>304</v>
      </c>
      <c r="D702" s="280">
        <f>8884339</f>
        <v>8884339</v>
      </c>
      <c r="E702" s="280"/>
      <c r="F702" s="103">
        <v>940243</v>
      </c>
      <c r="G702" s="280">
        <f>SUM(D702:F702)</f>
        <v>9824582</v>
      </c>
    </row>
    <row r="703" spans="1:7">
      <c r="A703" s="486"/>
      <c r="C703" s="171" t="s">
        <v>121</v>
      </c>
      <c r="D703" s="281">
        <v>5447514</v>
      </c>
      <c r="E703" s="281"/>
      <c r="F703" s="515">
        <v>648964</v>
      </c>
      <c r="G703" s="281">
        <f>SUM(D703:F703)</f>
        <v>6096478</v>
      </c>
    </row>
    <row r="704" spans="1:7">
      <c r="A704" s="486"/>
      <c r="C704" s="225"/>
      <c r="D704" s="317"/>
      <c r="E704" s="317"/>
      <c r="F704" s="103"/>
      <c r="G704" s="317">
        <f>SUM(D704:F704)</f>
        <v>0</v>
      </c>
    </row>
    <row r="705" spans="1:7">
      <c r="A705" s="486"/>
      <c r="C705" s="216" t="s">
        <v>305</v>
      </c>
      <c r="D705" s="280">
        <f>D707+D708</f>
        <v>1427600</v>
      </c>
      <c r="E705" s="280">
        <f t="shared" ref="E705:F705" si="27">E707+E708</f>
        <v>0</v>
      </c>
      <c r="F705" s="280">
        <f t="shared" si="27"/>
        <v>-484500</v>
      </c>
      <c r="G705" s="280">
        <f>SUM(D705:F705)</f>
        <v>943100</v>
      </c>
    </row>
    <row r="706" spans="1:7">
      <c r="A706" s="486"/>
      <c r="C706" s="171" t="s">
        <v>121</v>
      </c>
      <c r="D706" s="281">
        <v>5000</v>
      </c>
      <c r="E706" s="281"/>
      <c r="F706" s="103"/>
      <c r="G706" s="281">
        <f>SUM(D706:F706)</f>
        <v>5000</v>
      </c>
    </row>
    <row r="707" spans="1:7">
      <c r="A707" s="486"/>
      <c r="C707" s="214" t="s">
        <v>306</v>
      </c>
      <c r="D707" s="289">
        <f>498000+500000</f>
        <v>998000</v>
      </c>
      <c r="E707" s="289"/>
      <c r="F707" s="620">
        <v>-484500</v>
      </c>
      <c r="G707" s="289">
        <f>SUM(D707:F707)</f>
        <v>513500</v>
      </c>
    </row>
    <row r="708" spans="1:7">
      <c r="A708" s="486"/>
      <c r="C708" s="192" t="s">
        <v>307</v>
      </c>
      <c r="D708" s="289">
        <v>429600</v>
      </c>
      <c r="E708" s="289"/>
      <c r="F708" s="103"/>
      <c r="G708" s="289">
        <f>SUM(D708:F708)</f>
        <v>429600</v>
      </c>
    </row>
    <row r="709" spans="1:7">
      <c r="A709" s="486"/>
      <c r="C709" s="226"/>
      <c r="D709" s="289"/>
      <c r="E709" s="289"/>
      <c r="F709" s="103"/>
      <c r="G709" s="289">
        <f>SUM(D709:F709)</f>
        <v>0</v>
      </c>
    </row>
    <row r="710" spans="1:7">
      <c r="A710" s="486"/>
      <c r="C710" s="216" t="s">
        <v>308</v>
      </c>
      <c r="D710" s="280">
        <v>242400</v>
      </c>
      <c r="E710" s="280"/>
      <c r="F710" s="103">
        <v>-65000</v>
      </c>
      <c r="G710" s="280">
        <f>SUM(D710:F710)</f>
        <v>177400</v>
      </c>
    </row>
    <row r="711" spans="1:7">
      <c r="A711" s="486"/>
      <c r="C711" s="226"/>
      <c r="D711" s="289"/>
      <c r="E711" s="289"/>
      <c r="F711" s="103"/>
      <c r="G711" s="289">
        <f>SUM(D711:F711)</f>
        <v>0</v>
      </c>
    </row>
    <row r="712" spans="1:7">
      <c r="A712" s="486"/>
      <c r="C712" s="216" t="s">
        <v>309</v>
      </c>
      <c r="D712" s="280">
        <v>214000</v>
      </c>
      <c r="E712" s="280"/>
      <c r="F712" s="103"/>
      <c r="G712" s="280">
        <f>SUM(D712:F712)</f>
        <v>214000</v>
      </c>
    </row>
    <row r="713" spans="1:7">
      <c r="A713" s="486"/>
      <c r="C713" s="216"/>
      <c r="D713" s="280"/>
      <c r="E713" s="280"/>
      <c r="F713" s="103"/>
      <c r="G713" s="280">
        <f>SUM(D713:F713)</f>
        <v>0</v>
      </c>
    </row>
    <row r="714" spans="1:7">
      <c r="A714" s="622"/>
      <c r="B714" s="623"/>
      <c r="C714" s="216" t="s">
        <v>928</v>
      </c>
      <c r="D714" s="280"/>
      <c r="E714" s="280"/>
      <c r="F714" s="103">
        <v>9000</v>
      </c>
      <c r="G714" s="280">
        <f>SUM(D714:F714)</f>
        <v>9000</v>
      </c>
    </row>
    <row r="715" spans="1:7">
      <c r="A715" s="486"/>
      <c r="C715" s="216"/>
      <c r="D715" s="280"/>
      <c r="E715" s="280"/>
      <c r="F715" s="103"/>
      <c r="G715" s="280">
        <f>SUM(D715:F715)</f>
        <v>0</v>
      </c>
    </row>
    <row r="716" spans="1:7">
      <c r="A716" s="486"/>
      <c r="C716" s="227" t="s">
        <v>310</v>
      </c>
      <c r="D716" s="290">
        <v>32080</v>
      </c>
      <c r="E716" s="290"/>
      <c r="F716" s="103"/>
      <c r="G716" s="290">
        <f>SUM(D716:F716)</f>
        <v>32080</v>
      </c>
    </row>
    <row r="717" spans="1:7">
      <c r="A717" s="486"/>
      <c r="C717" s="227"/>
      <c r="D717" s="290"/>
      <c r="E717" s="290"/>
      <c r="F717" s="103"/>
      <c r="G717" s="290">
        <f>SUM(D717:F717)</f>
        <v>0</v>
      </c>
    </row>
    <row r="718" spans="1:7">
      <c r="A718" s="486"/>
      <c r="C718" s="228" t="s">
        <v>311</v>
      </c>
      <c r="D718" s="290">
        <f>277000+6000</f>
        <v>283000</v>
      </c>
      <c r="E718" s="290"/>
      <c r="F718" s="103">
        <v>15000</v>
      </c>
      <c r="G718" s="290">
        <f>SUM(D718:F718)</f>
        <v>298000</v>
      </c>
    </row>
    <row r="719" spans="1:7">
      <c r="A719" s="486"/>
      <c r="C719" s="192"/>
      <c r="D719" s="289"/>
      <c r="E719" s="289"/>
      <c r="F719" s="103"/>
      <c r="G719" s="289">
        <f>SUM(D719:F719)</f>
        <v>0</v>
      </c>
    </row>
    <row r="720" spans="1:7">
      <c r="A720" s="486"/>
      <c r="C720" s="216" t="s">
        <v>312</v>
      </c>
      <c r="D720" s="280">
        <v>6230</v>
      </c>
      <c r="E720" s="280"/>
      <c r="F720" s="103"/>
      <c r="G720" s="280">
        <f>SUM(D720:F720)</f>
        <v>6230</v>
      </c>
    </row>
    <row r="721" spans="1:7">
      <c r="A721" s="486"/>
      <c r="C721" s="216"/>
      <c r="D721" s="280"/>
      <c r="E721" s="280"/>
      <c r="F721" s="103"/>
      <c r="G721" s="280">
        <f>SUM(D721:F721)</f>
        <v>0</v>
      </c>
    </row>
    <row r="722" spans="1:7">
      <c r="A722" s="486"/>
      <c r="C722" s="216" t="s">
        <v>313</v>
      </c>
      <c r="D722" s="280">
        <v>39000</v>
      </c>
      <c r="E722" s="280"/>
      <c r="F722" s="103">
        <v>-9750</v>
      </c>
      <c r="G722" s="280">
        <f>SUM(D722:F722)</f>
        <v>29250</v>
      </c>
    </row>
    <row r="723" spans="1:7">
      <c r="A723" s="486"/>
      <c r="C723" s="216"/>
      <c r="D723" s="280"/>
      <c r="E723" s="280"/>
      <c r="F723" s="103"/>
      <c r="G723" s="280">
        <f>SUM(D723:F723)</f>
        <v>0</v>
      </c>
    </row>
    <row r="724" spans="1:7">
      <c r="A724" s="486"/>
      <c r="C724" s="216" t="s">
        <v>314</v>
      </c>
      <c r="D724" s="280">
        <v>25170</v>
      </c>
      <c r="E724" s="280"/>
      <c r="F724" s="103"/>
      <c r="G724" s="280">
        <f>SUM(D724:F724)</f>
        <v>25170</v>
      </c>
    </row>
    <row r="725" spans="1:7" ht="13.5" customHeight="1">
      <c r="A725" s="486"/>
      <c r="C725" s="216"/>
      <c r="D725" s="280"/>
      <c r="E725" s="280"/>
      <c r="F725" s="103"/>
      <c r="G725" s="280">
        <f>SUM(D725:F725)</f>
        <v>0</v>
      </c>
    </row>
    <row r="726" spans="1:7">
      <c r="A726" s="486"/>
      <c r="C726" s="216" t="s">
        <v>315</v>
      </c>
      <c r="D726" s="280">
        <v>15170</v>
      </c>
      <c r="E726" s="280"/>
      <c r="F726" s="103"/>
      <c r="G726" s="280">
        <f>SUM(D726:F726)</f>
        <v>15170</v>
      </c>
    </row>
    <row r="727" spans="1:7">
      <c r="A727" s="486"/>
      <c r="C727" s="216"/>
      <c r="D727" s="280"/>
      <c r="E727" s="280"/>
      <c r="F727" s="103"/>
      <c r="G727" s="280">
        <f>SUM(D727:F727)</f>
        <v>0</v>
      </c>
    </row>
    <row r="728" spans="1:7">
      <c r="A728" s="486"/>
      <c r="C728" s="216" t="s">
        <v>809</v>
      </c>
      <c r="D728" s="280">
        <v>100000</v>
      </c>
      <c r="E728" s="280"/>
      <c r="F728" s="103"/>
      <c r="G728" s="280">
        <f>SUM(D728:F728)</f>
        <v>100000</v>
      </c>
    </row>
    <row r="729" spans="1:7">
      <c r="A729" s="486"/>
      <c r="C729" s="171" t="s">
        <v>121</v>
      </c>
      <c r="D729" s="281">
        <v>28800</v>
      </c>
      <c r="E729" s="281"/>
      <c r="F729" s="515">
        <v>17500</v>
      </c>
      <c r="G729" s="281">
        <f>SUM(D729:F729)</f>
        <v>46300</v>
      </c>
    </row>
    <row r="730" spans="1:7">
      <c r="A730" s="486"/>
      <c r="C730" s="616"/>
      <c r="D730" s="617"/>
      <c r="E730" s="617"/>
      <c r="F730" s="103"/>
      <c r="G730" s="617">
        <f>SUM(D730:F730)</f>
        <v>0</v>
      </c>
    </row>
    <row r="731" spans="1:7">
      <c r="A731" s="486"/>
      <c r="C731" s="143"/>
      <c r="D731" s="318"/>
      <c r="E731" s="318"/>
      <c r="F731" s="103"/>
      <c r="G731" s="318">
        <f>SUM(D731:F731)</f>
        <v>0</v>
      </c>
    </row>
    <row r="732" spans="1:7" ht="15.75">
      <c r="A732" s="486"/>
      <c r="C732" s="244" t="s">
        <v>112</v>
      </c>
      <c r="D732" s="319"/>
      <c r="E732" s="319"/>
      <c r="F732" s="103"/>
      <c r="G732" s="319">
        <f>SUM(D732:F732)</f>
        <v>0</v>
      </c>
    </row>
    <row r="733" spans="1:7">
      <c r="A733" s="486"/>
      <c r="C733" s="245"/>
      <c r="D733" s="320"/>
      <c r="E733" s="320"/>
      <c r="G733" s="320">
        <f>SUM(D733:F733)</f>
        <v>0</v>
      </c>
    </row>
    <row r="734" spans="1:7">
      <c r="A734" s="486"/>
      <c r="C734" s="245" t="s">
        <v>240</v>
      </c>
      <c r="D734" s="320">
        <f>SUM(D741,D747,D753)</f>
        <v>17727400</v>
      </c>
      <c r="E734" s="320">
        <f t="shared" ref="E734" si="28">SUM(E741,E747,E753)</f>
        <v>80398</v>
      </c>
      <c r="F734" s="320">
        <f>SUM(F741,F747,F753)</f>
        <v>70263</v>
      </c>
      <c r="G734" s="320">
        <f>SUM(D734:F734)</f>
        <v>17878061</v>
      </c>
    </row>
    <row r="735" spans="1:7">
      <c r="A735" s="486"/>
      <c r="C735" s="246" t="s">
        <v>825</v>
      </c>
      <c r="D735" s="321">
        <v>1847300</v>
      </c>
      <c r="E735" s="321"/>
      <c r="F735" s="321"/>
      <c r="G735" s="321">
        <f>SUM(D735:F735)</f>
        <v>1847300</v>
      </c>
    </row>
    <row r="736" spans="1:7">
      <c r="A736" s="486"/>
      <c r="C736" s="247" t="s">
        <v>118</v>
      </c>
      <c r="D736" s="322">
        <f>SUM(D737:D738)</f>
        <v>17727400</v>
      </c>
      <c r="E736" s="322">
        <f t="shared" ref="E736" si="29">SUM(E737:E738)</f>
        <v>80398</v>
      </c>
      <c r="F736" s="322">
        <f>SUM(F737:F738)</f>
        <v>70263</v>
      </c>
      <c r="G736" s="322">
        <f>SUM(D736:F736)</f>
        <v>17878061</v>
      </c>
    </row>
    <row r="737" spans="1:26">
      <c r="A737" s="486"/>
      <c r="C737" s="248" t="s">
        <v>119</v>
      </c>
      <c r="D737" s="321">
        <f>'[3]2.2 OMATULUD'!B381</f>
        <v>3617640</v>
      </c>
      <c r="E737" s="321"/>
      <c r="F737" s="321">
        <v>17000</v>
      </c>
      <c r="G737" s="321">
        <f>SUM(D737:F737)</f>
        <v>3634640</v>
      </c>
    </row>
    <row r="738" spans="1:26">
      <c r="A738" s="486"/>
      <c r="C738" s="249" t="s">
        <v>120</v>
      </c>
      <c r="D738" s="321">
        <f>D734-D737</f>
        <v>14109760</v>
      </c>
      <c r="E738" s="321">
        <f t="shared" ref="E738" si="30">E734-E737</f>
        <v>80398</v>
      </c>
      <c r="F738" s="321">
        <f>F734-F737</f>
        <v>53263</v>
      </c>
      <c r="G738" s="321">
        <f>SUM(D738:F738)</f>
        <v>14243421</v>
      </c>
    </row>
    <row r="739" spans="1:26" s="493" customFormat="1">
      <c r="C739" s="603" t="s">
        <v>884</v>
      </c>
      <c r="D739" s="494">
        <f>D756</f>
        <v>1477960</v>
      </c>
      <c r="E739" s="494">
        <f t="shared" ref="E739" si="31">E756</f>
        <v>60088</v>
      </c>
      <c r="F739" s="494">
        <f>F756</f>
        <v>15013</v>
      </c>
      <c r="G739" s="494">
        <f>SUM(D739:F739)</f>
        <v>1553061</v>
      </c>
      <c r="H739" s="495"/>
      <c r="I739" s="495"/>
      <c r="J739" s="495"/>
      <c r="K739" s="495"/>
      <c r="L739" s="495"/>
      <c r="M739" s="604"/>
      <c r="O739" s="495"/>
      <c r="P739" s="495"/>
      <c r="Q739" s="495"/>
      <c r="R739" s="604"/>
      <c r="T739" s="495"/>
      <c r="U739" s="495"/>
      <c r="V739" s="495"/>
      <c r="W739" s="604"/>
      <c r="Z739" s="103"/>
    </row>
    <row r="740" spans="1:26">
      <c r="A740" s="486"/>
      <c r="C740" s="250"/>
      <c r="D740" s="321"/>
      <c r="E740" s="321"/>
      <c r="G740" s="321">
        <f>SUM(D740:F740)</f>
        <v>0</v>
      </c>
    </row>
    <row r="741" spans="1:26" ht="15">
      <c r="A741" s="486" t="s">
        <v>676</v>
      </c>
      <c r="B741" s="5" t="s">
        <v>879</v>
      </c>
      <c r="C741" s="251" t="s">
        <v>316</v>
      </c>
      <c r="D741" s="393">
        <f>SUM(D742)</f>
        <v>2729000</v>
      </c>
      <c r="E741" s="393"/>
      <c r="F741" s="393">
        <f>SUM(F742)</f>
        <v>9000</v>
      </c>
      <c r="G741" s="393">
        <f>SUM(D741:F741)</f>
        <v>2738000</v>
      </c>
    </row>
    <row r="742" spans="1:26">
      <c r="A742" s="486"/>
      <c r="C742" s="252" t="s">
        <v>317</v>
      </c>
      <c r="D742" s="394">
        <f>SUM(D744)</f>
        <v>2729000</v>
      </c>
      <c r="E742" s="394"/>
      <c r="F742" s="394">
        <f>SUM(F744)</f>
        <v>9000</v>
      </c>
      <c r="G742" s="394">
        <f>SUM(D742:F742)</f>
        <v>2738000</v>
      </c>
    </row>
    <row r="743" spans="1:26">
      <c r="A743" s="486"/>
      <c r="C743" s="253" t="s">
        <v>243</v>
      </c>
      <c r="D743" s="394"/>
      <c r="E743" s="394"/>
      <c r="G743" s="394">
        <f>SUM(D743:F743)</f>
        <v>0</v>
      </c>
    </row>
    <row r="744" spans="1:26">
      <c r="A744" s="486"/>
      <c r="C744" s="196" t="s">
        <v>318</v>
      </c>
      <c r="D744" s="302">
        <v>2729000</v>
      </c>
      <c r="E744" s="302"/>
      <c r="F744" s="302">
        <v>9000</v>
      </c>
      <c r="G744" s="302">
        <f>SUM(D744:F744)</f>
        <v>2738000</v>
      </c>
    </row>
    <row r="745" spans="1:26">
      <c r="A745" s="486"/>
      <c r="C745" s="254"/>
      <c r="D745" s="395"/>
      <c r="E745" s="395"/>
      <c r="G745" s="395">
        <f>SUM(D745:F745)</f>
        <v>0</v>
      </c>
    </row>
    <row r="746" spans="1:26">
      <c r="A746" s="486"/>
      <c r="C746" s="255"/>
      <c r="D746" s="305"/>
      <c r="E746" s="305"/>
      <c r="G746" s="305">
        <f>SUM(D746:F746)</f>
        <v>0</v>
      </c>
    </row>
    <row r="747" spans="1:26" ht="15">
      <c r="A747" s="486" t="s">
        <v>773</v>
      </c>
      <c r="B747" s="5" t="s">
        <v>879</v>
      </c>
      <c r="C747" s="190" t="s">
        <v>252</v>
      </c>
      <c r="D747" s="298">
        <f>SUM(D748)</f>
        <v>635000</v>
      </c>
      <c r="E747" s="298"/>
      <c r="G747" s="298">
        <f>SUM(D747:F747)</f>
        <v>635000</v>
      </c>
    </row>
    <row r="748" spans="1:26">
      <c r="A748" s="486"/>
      <c r="C748" s="183" t="s">
        <v>272</v>
      </c>
      <c r="D748" s="299">
        <f>SUM(D750)</f>
        <v>635000</v>
      </c>
      <c r="E748" s="299"/>
      <c r="G748" s="299">
        <f>SUM(D748:F748)</f>
        <v>635000</v>
      </c>
    </row>
    <row r="749" spans="1:26">
      <c r="A749" s="486"/>
      <c r="C749" s="253" t="s">
        <v>243</v>
      </c>
      <c r="D749" s="394"/>
      <c r="E749" s="394"/>
      <c r="G749" s="394">
        <f>SUM(D749:F749)</f>
        <v>0</v>
      </c>
    </row>
    <row r="750" spans="1:26">
      <c r="A750" s="486"/>
      <c r="C750" s="196" t="s">
        <v>551</v>
      </c>
      <c r="D750" s="302">
        <v>635000</v>
      </c>
      <c r="E750" s="302"/>
      <c r="G750" s="302">
        <f>SUM(D750:F750)</f>
        <v>635000</v>
      </c>
    </row>
    <row r="751" spans="1:26">
      <c r="A751" s="486"/>
      <c r="C751" s="256"/>
      <c r="D751" s="295"/>
      <c r="E751" s="295"/>
      <c r="G751" s="295">
        <f>SUM(D751:F751)</f>
        <v>0</v>
      </c>
    </row>
    <row r="752" spans="1:26">
      <c r="A752" s="486"/>
      <c r="C752" s="257"/>
      <c r="D752" s="396"/>
      <c r="E752" s="396"/>
      <c r="G752" s="396">
        <f>SUM(D752:F752)</f>
        <v>0</v>
      </c>
    </row>
    <row r="753" spans="1:7">
      <c r="A753" s="486"/>
      <c r="C753" s="245" t="s">
        <v>244</v>
      </c>
      <c r="D753" s="320">
        <f>SUM(D755,D760,D775,D773,D758)</f>
        <v>14363400</v>
      </c>
      <c r="E753" s="320">
        <f t="shared" ref="E753" si="32">SUM(E755,E760,E775,E773,E758)</f>
        <v>80398</v>
      </c>
      <c r="F753" s="320">
        <f>SUM(F755,F760,F775,F773,F758)</f>
        <v>61263</v>
      </c>
      <c r="G753" s="320">
        <f>SUM(D753:F753)</f>
        <v>14505061</v>
      </c>
    </row>
    <row r="754" spans="1:7">
      <c r="A754" s="486"/>
      <c r="C754" s="245"/>
      <c r="D754" s="320"/>
      <c r="E754" s="320"/>
      <c r="G754" s="320">
        <f>SUM(D754:F754)</f>
        <v>0</v>
      </c>
    </row>
    <row r="755" spans="1:7">
      <c r="A755" s="486" t="s">
        <v>676</v>
      </c>
      <c r="B755" s="5" t="s">
        <v>879</v>
      </c>
      <c r="C755" s="239" t="s">
        <v>112</v>
      </c>
      <c r="D755" s="286">
        <f>2408949+1</f>
        <v>2408950</v>
      </c>
      <c r="E755" s="286">
        <v>80398</v>
      </c>
      <c r="F755" s="286">
        <f>-6284+17091+10316</f>
        <v>21123</v>
      </c>
      <c r="G755" s="286">
        <f>SUM(D755:F755)</f>
        <v>2510471</v>
      </c>
    </row>
    <row r="756" spans="1:7">
      <c r="A756" s="486"/>
      <c r="C756" s="241" t="s">
        <v>121</v>
      </c>
      <c r="D756" s="287">
        <v>1477960</v>
      </c>
      <c r="E756" s="287">
        <v>60088</v>
      </c>
      <c r="F756" s="287">
        <f>-4697+12000+7710</f>
        <v>15013</v>
      </c>
      <c r="G756" s="287">
        <f>SUM(D756:F756)</f>
        <v>1553061</v>
      </c>
    </row>
    <row r="757" spans="1:7">
      <c r="A757" s="486"/>
      <c r="C757" s="241"/>
      <c r="D757" s="287"/>
      <c r="E757" s="287"/>
      <c r="G757" s="287">
        <f>SUM(D757:F757)</f>
        <v>0</v>
      </c>
    </row>
    <row r="758" spans="1:7">
      <c r="A758" s="486" t="s">
        <v>678</v>
      </c>
      <c r="B758" s="5" t="s">
        <v>879</v>
      </c>
      <c r="C758" s="239" t="s">
        <v>552</v>
      </c>
      <c r="D758" s="286">
        <v>80200</v>
      </c>
      <c r="E758" s="286"/>
      <c r="G758" s="286">
        <f>SUM(D758:F758)</f>
        <v>80200</v>
      </c>
    </row>
    <row r="759" spans="1:7">
      <c r="A759" s="486"/>
      <c r="C759" s="245"/>
      <c r="D759" s="320"/>
      <c r="E759" s="320"/>
      <c r="G759" s="320">
        <f>SUM(D759:F759)</f>
        <v>0</v>
      </c>
    </row>
    <row r="760" spans="1:7">
      <c r="A760" s="486" t="s">
        <v>676</v>
      </c>
      <c r="B760" s="5" t="s">
        <v>879</v>
      </c>
      <c r="C760" s="227" t="s">
        <v>553</v>
      </c>
      <c r="D760" s="290">
        <f>SUM(D761:D771)</f>
        <v>11225150</v>
      </c>
      <c r="E760" s="290"/>
      <c r="F760" s="541">
        <f>SUM(F761:F761)</f>
        <v>35140</v>
      </c>
      <c r="G760" s="290">
        <f>SUM(D760:F760)</f>
        <v>11260290</v>
      </c>
    </row>
    <row r="761" spans="1:7">
      <c r="A761" s="486"/>
      <c r="C761" s="222" t="s">
        <v>554</v>
      </c>
      <c r="D761" s="300">
        <v>390650</v>
      </c>
      <c r="E761" s="300"/>
      <c r="F761" s="543">
        <v>35140</v>
      </c>
      <c r="G761" s="300">
        <f>SUM(D761:F761)</f>
        <v>425790</v>
      </c>
    </row>
    <row r="762" spans="1:7">
      <c r="A762" s="486"/>
      <c r="C762" s="223" t="s">
        <v>555</v>
      </c>
      <c r="D762" s="300">
        <v>2430000</v>
      </c>
      <c r="E762" s="300"/>
      <c r="G762" s="300">
        <f>SUM(D762:F762)</f>
        <v>2430000</v>
      </c>
    </row>
    <row r="763" spans="1:7">
      <c r="A763" s="486"/>
      <c r="C763" s="223" t="s">
        <v>556</v>
      </c>
      <c r="D763" s="300">
        <v>8172000</v>
      </c>
      <c r="E763" s="300"/>
      <c r="G763" s="300">
        <f>SUM(D763:F763)</f>
        <v>8172000</v>
      </c>
    </row>
    <row r="764" spans="1:7">
      <c r="A764" s="486"/>
      <c r="C764" s="223" t="s">
        <v>557</v>
      </c>
      <c r="D764" s="300">
        <v>70000</v>
      </c>
      <c r="E764" s="300"/>
      <c r="G764" s="300">
        <f>SUM(D764:F764)</f>
        <v>70000</v>
      </c>
    </row>
    <row r="765" spans="1:7">
      <c r="A765" s="486"/>
      <c r="C765" s="223" t="s">
        <v>558</v>
      </c>
      <c r="D765" s="300">
        <v>9600</v>
      </c>
      <c r="E765" s="300"/>
      <c r="G765" s="300">
        <f>SUM(D765:F765)</f>
        <v>9600</v>
      </c>
    </row>
    <row r="766" spans="1:7">
      <c r="A766" s="486"/>
      <c r="C766" s="258" t="s">
        <v>559</v>
      </c>
      <c r="D766" s="565">
        <v>29900</v>
      </c>
      <c r="E766" s="565"/>
      <c r="G766" s="565">
        <f>SUM(D766:F766)</f>
        <v>29900</v>
      </c>
    </row>
    <row r="767" spans="1:7">
      <c r="A767" s="486"/>
      <c r="C767" s="223" t="s">
        <v>1004</v>
      </c>
      <c r="D767" s="300">
        <v>18000</v>
      </c>
      <c r="E767" s="300"/>
      <c r="G767" s="300">
        <f>SUM(D767:F767)</f>
        <v>18000</v>
      </c>
    </row>
    <row r="768" spans="1:7">
      <c r="A768" s="486"/>
      <c r="C768" s="223" t="s">
        <v>560</v>
      </c>
      <c r="D768" s="300">
        <v>1500</v>
      </c>
      <c r="E768" s="300"/>
      <c r="G768" s="300">
        <f>SUM(D768:F768)</f>
        <v>1500</v>
      </c>
    </row>
    <row r="769" spans="1:7">
      <c r="A769" s="486"/>
      <c r="C769" s="223" t="s">
        <v>810</v>
      </c>
      <c r="D769" s="300">
        <v>40000</v>
      </c>
      <c r="E769" s="300"/>
      <c r="G769" s="300">
        <f>SUM(D769:F769)</f>
        <v>40000</v>
      </c>
    </row>
    <row r="770" spans="1:7">
      <c r="A770" s="486"/>
      <c r="C770" s="223" t="s">
        <v>561</v>
      </c>
      <c r="D770" s="300">
        <f>13500+10000</f>
        <v>23500</v>
      </c>
      <c r="E770" s="300"/>
      <c r="G770" s="300">
        <f>SUM(D770:F770)</f>
        <v>23500</v>
      </c>
    </row>
    <row r="771" spans="1:7" ht="22.5">
      <c r="A771" s="486"/>
      <c r="C771" s="223" t="s">
        <v>784</v>
      </c>
      <c r="D771" s="300">
        <v>40000</v>
      </c>
      <c r="E771" s="300"/>
      <c r="G771" s="300">
        <f>SUM(D771:F771)</f>
        <v>40000</v>
      </c>
    </row>
    <row r="772" spans="1:7">
      <c r="A772" s="486"/>
      <c r="C772" s="259"/>
      <c r="D772" s="323"/>
      <c r="E772" s="323"/>
      <c r="G772" s="323">
        <f>SUM(D772:F772)</f>
        <v>0</v>
      </c>
    </row>
    <row r="773" spans="1:7">
      <c r="A773" s="486" t="s">
        <v>676</v>
      </c>
      <c r="B773" s="5" t="s">
        <v>879</v>
      </c>
      <c r="C773" s="193" t="s">
        <v>319</v>
      </c>
      <c r="D773" s="282">
        <v>169100</v>
      </c>
      <c r="E773" s="282"/>
      <c r="F773" s="282">
        <v>5000</v>
      </c>
      <c r="G773" s="282">
        <f>SUM(D773:F773)</f>
        <v>174100</v>
      </c>
    </row>
    <row r="774" spans="1:7">
      <c r="A774" s="486"/>
      <c r="C774" s="259"/>
      <c r="D774" s="323"/>
      <c r="E774" s="323"/>
      <c r="G774" s="323">
        <f>SUM(D774:F774)</f>
        <v>0</v>
      </c>
    </row>
    <row r="775" spans="1:7">
      <c r="A775" s="486" t="s">
        <v>676</v>
      </c>
      <c r="B775" s="5" t="s">
        <v>879</v>
      </c>
      <c r="C775" s="239" t="s">
        <v>562</v>
      </c>
      <c r="D775" s="286">
        <f>300000+180000</f>
        <v>480000</v>
      </c>
      <c r="E775" s="286"/>
      <c r="G775" s="286">
        <f>SUM(D775:F775)</f>
        <v>480000</v>
      </c>
    </row>
    <row r="776" spans="1:7">
      <c r="A776" s="486"/>
      <c r="C776" s="477"/>
      <c r="D776" s="478"/>
      <c r="E776" s="478"/>
      <c r="G776" s="478">
        <f>SUM(D776:F776)</f>
        <v>0</v>
      </c>
    </row>
    <row r="777" spans="1:7">
      <c r="A777" s="486"/>
      <c r="C777" s="477"/>
      <c r="D777" s="478"/>
      <c r="E777" s="478"/>
      <c r="G777" s="478">
        <f>SUM(D777:F777)</f>
        <v>0</v>
      </c>
    </row>
    <row r="778" spans="1:7" ht="15.75">
      <c r="A778" s="486"/>
      <c r="C778" s="234" t="s">
        <v>320</v>
      </c>
      <c r="D778" s="284"/>
      <c r="E778" s="284"/>
      <c r="G778" s="284">
        <f>SUM(D778:F778)</f>
        <v>0</v>
      </c>
    </row>
    <row r="779" spans="1:7">
      <c r="A779" s="486"/>
      <c r="C779" s="142"/>
      <c r="D779" s="306"/>
      <c r="E779" s="306"/>
      <c r="G779" s="306">
        <f>SUM(D779:F779)</f>
        <v>0</v>
      </c>
    </row>
    <row r="780" spans="1:7">
      <c r="A780" s="486"/>
      <c r="C780" s="186" t="s">
        <v>240</v>
      </c>
      <c r="D780" s="277">
        <f>D788+D846+D855</f>
        <v>8887701</v>
      </c>
      <c r="E780" s="277">
        <f>E788+E846+E855</f>
        <v>74406</v>
      </c>
      <c r="F780" s="277">
        <f>F788+F846+F855</f>
        <v>209339</v>
      </c>
      <c r="G780" s="277">
        <f>SUM(D780:F780)</f>
        <v>9171446</v>
      </c>
    </row>
    <row r="781" spans="1:7">
      <c r="A781" s="486"/>
      <c r="C781" s="187" t="s">
        <v>825</v>
      </c>
      <c r="D781" s="278">
        <v>190000</v>
      </c>
      <c r="E781" s="278"/>
      <c r="G781" s="278">
        <f>SUM(D781:F781)</f>
        <v>190000</v>
      </c>
    </row>
    <row r="782" spans="1:7">
      <c r="A782" s="486"/>
      <c r="C782" s="197" t="s">
        <v>118</v>
      </c>
      <c r="D782" s="279">
        <f>D783+D785+D784</f>
        <v>8887701</v>
      </c>
      <c r="E782" s="279">
        <f>E783+E785+E784</f>
        <v>74406</v>
      </c>
      <c r="F782" s="279">
        <f>F783+F785+F784</f>
        <v>209339</v>
      </c>
      <c r="G782" s="279">
        <f>SUM(D782:F782)</f>
        <v>9171446</v>
      </c>
    </row>
    <row r="783" spans="1:7">
      <c r="A783" s="486"/>
      <c r="C783" s="189" t="s">
        <v>119</v>
      </c>
      <c r="D783" s="278">
        <f>'[3]2.2 OMATULUD'!B393</f>
        <v>1194800</v>
      </c>
      <c r="E783" s="278"/>
      <c r="F783" s="103">
        <f>'[3]2.2 OMATULUD'!D393</f>
        <v>406520</v>
      </c>
      <c r="G783" s="278">
        <f>SUM(D783:F783)</f>
        <v>1601320</v>
      </c>
    </row>
    <row r="784" spans="1:7">
      <c r="A784" s="486"/>
      <c r="C784" s="173" t="s">
        <v>106</v>
      </c>
      <c r="D784" s="278">
        <f>'[3]2.3 TOETUSED'!B55</f>
        <v>62785</v>
      </c>
      <c r="E784" s="278"/>
      <c r="G784" s="278">
        <f>SUM(D784:F784)</f>
        <v>62785</v>
      </c>
    </row>
    <row r="785" spans="1:26">
      <c r="A785" s="486"/>
      <c r="C785" s="173" t="s">
        <v>120</v>
      </c>
      <c r="D785" s="278">
        <f>D780-D783-D784</f>
        <v>7630116</v>
      </c>
      <c r="E785" s="278">
        <f>E780-E783-E784</f>
        <v>74406</v>
      </c>
      <c r="F785" s="103">
        <f>F780-F783-F784</f>
        <v>-197181</v>
      </c>
      <c r="G785" s="278">
        <f>SUM(D785:F785)</f>
        <v>7507341</v>
      </c>
    </row>
    <row r="786" spans="1:26" s="493" customFormat="1">
      <c r="C786" s="603" t="s">
        <v>884</v>
      </c>
      <c r="D786" s="494">
        <f>D790+D811+D840+D848+D858+D896</f>
        <v>1656069</v>
      </c>
      <c r="E786" s="494">
        <f>E790+E811+E840+E848+E858+E896</f>
        <v>55610</v>
      </c>
      <c r="F786" s="494">
        <f>F790+F811+F840+F848+F858+F896</f>
        <v>-13614</v>
      </c>
      <c r="G786" s="494">
        <f>SUM(D786:F786)</f>
        <v>1698065</v>
      </c>
      <c r="H786" s="495"/>
      <c r="I786" s="495"/>
      <c r="J786" s="495"/>
      <c r="K786" s="495"/>
      <c r="L786" s="495"/>
      <c r="M786" s="604"/>
      <c r="O786" s="495"/>
      <c r="P786" s="495"/>
      <c r="Q786" s="495"/>
      <c r="R786" s="604"/>
      <c r="T786" s="495"/>
      <c r="U786" s="495"/>
      <c r="V786" s="495"/>
      <c r="W786" s="604"/>
      <c r="Z786" s="103"/>
    </row>
    <row r="787" spans="1:26">
      <c r="A787" s="486"/>
      <c r="C787" s="173"/>
      <c r="D787" s="278"/>
      <c r="E787" s="278"/>
      <c r="G787" s="278">
        <f>SUM(D787:F787)</f>
        <v>0</v>
      </c>
    </row>
    <row r="788" spans="1:26" ht="15">
      <c r="A788" s="486" t="s">
        <v>840</v>
      </c>
      <c r="B788" s="5" t="s">
        <v>320</v>
      </c>
      <c r="C788" s="185" t="s">
        <v>321</v>
      </c>
      <c r="D788" s="297">
        <f>D789+D810+D839</f>
        <v>1415350</v>
      </c>
      <c r="E788" s="297">
        <f t="shared" ref="E788:F788" si="33">E789+E810+E839</f>
        <v>0</v>
      </c>
      <c r="F788" s="297">
        <f t="shared" si="33"/>
        <v>59220</v>
      </c>
      <c r="G788" s="297">
        <f>SUM(D788:F788)</f>
        <v>1474570</v>
      </c>
    </row>
    <row r="789" spans="1:26">
      <c r="A789" s="486"/>
      <c r="C789" s="229" t="s">
        <v>322</v>
      </c>
      <c r="D789" s="277">
        <f>D792+D797+D801+D806</f>
        <v>542850</v>
      </c>
      <c r="E789" s="277">
        <f t="shared" ref="E789:F789" si="34">E792+E797+E801+E806</f>
        <v>0</v>
      </c>
      <c r="F789" s="277">
        <f t="shared" si="34"/>
        <v>-20000</v>
      </c>
      <c r="G789" s="277">
        <f>SUM(D789:F789)</f>
        <v>522850</v>
      </c>
    </row>
    <row r="790" spans="1:26">
      <c r="A790" s="486"/>
      <c r="C790" s="182" t="s">
        <v>121</v>
      </c>
      <c r="D790" s="281">
        <f>D793+D802+D807</f>
        <v>33690</v>
      </c>
      <c r="E790" s="281">
        <f t="shared" ref="E790:F790" si="35">E793+E802+E807</f>
        <v>0</v>
      </c>
      <c r="F790" s="281">
        <f t="shared" si="35"/>
        <v>-9592</v>
      </c>
      <c r="G790" s="281">
        <f>SUM(D790:F790)</f>
        <v>24098</v>
      </c>
    </row>
    <row r="791" spans="1:26">
      <c r="A791" s="486"/>
      <c r="C791" s="195" t="s">
        <v>243</v>
      </c>
      <c r="D791" s="291"/>
      <c r="E791" s="291"/>
      <c r="F791" s="103"/>
      <c r="G791" s="291">
        <f>SUM(D791:F791)</f>
        <v>0</v>
      </c>
    </row>
    <row r="792" spans="1:26">
      <c r="A792" s="486"/>
      <c r="C792" s="196" t="s">
        <v>323</v>
      </c>
      <c r="D792" s="302">
        <v>190950</v>
      </c>
      <c r="E792" s="302"/>
      <c r="F792" s="103"/>
      <c r="G792" s="302">
        <f>SUM(D792:F792)</f>
        <v>190950</v>
      </c>
    </row>
    <row r="793" spans="1:26">
      <c r="A793" s="486"/>
      <c r="C793" s="191" t="s">
        <v>121</v>
      </c>
      <c r="D793" s="281">
        <v>5980</v>
      </c>
      <c r="E793" s="281"/>
      <c r="F793" s="103"/>
      <c r="G793" s="281">
        <f>SUM(D793:F793)</f>
        <v>5980</v>
      </c>
    </row>
    <row r="794" spans="1:26">
      <c r="A794" s="486"/>
      <c r="C794" s="191"/>
      <c r="D794" s="281"/>
      <c r="E794" s="281"/>
      <c r="F794" s="103"/>
      <c r="G794" s="281">
        <f>SUM(D794:F794)</f>
        <v>0</v>
      </c>
    </row>
    <row r="795" spans="1:26">
      <c r="A795" s="486"/>
      <c r="C795" s="182"/>
      <c r="D795" s="281"/>
      <c r="E795" s="281"/>
      <c r="F795" s="103"/>
      <c r="G795" s="281">
        <f>SUM(D795:F795)</f>
        <v>0</v>
      </c>
    </row>
    <row r="796" spans="1:26">
      <c r="A796" s="486"/>
      <c r="C796" s="195" t="s">
        <v>243</v>
      </c>
      <c r="D796" s="291"/>
      <c r="E796" s="291"/>
      <c r="F796" s="103"/>
      <c r="G796" s="291">
        <f>SUM(D796:F796)</f>
        <v>0</v>
      </c>
    </row>
    <row r="797" spans="1:26">
      <c r="A797" s="486"/>
      <c r="C797" s="196" t="s">
        <v>324</v>
      </c>
      <c r="D797" s="302">
        <v>253900</v>
      </c>
      <c r="E797" s="302"/>
      <c r="F797" s="103"/>
      <c r="G797" s="302">
        <f>SUM(D797:F797)</f>
        <v>253900</v>
      </c>
    </row>
    <row r="798" spans="1:26">
      <c r="A798" s="486"/>
      <c r="C798" s="624" t="s">
        <v>967</v>
      </c>
      <c r="D798" s="302"/>
      <c r="E798" s="302"/>
      <c r="F798" s="625">
        <v>43000</v>
      </c>
      <c r="G798" s="302">
        <f>SUM(D798:F798)</f>
        <v>43000</v>
      </c>
    </row>
    <row r="799" spans="1:26">
      <c r="A799" s="486"/>
      <c r="C799" s="182"/>
      <c r="D799" s="281"/>
      <c r="E799" s="281"/>
      <c r="F799" s="103"/>
      <c r="G799" s="281">
        <f>SUM(D799:F799)</f>
        <v>0</v>
      </c>
    </row>
    <row r="800" spans="1:26">
      <c r="A800" s="486"/>
      <c r="C800" s="195" t="s">
        <v>243</v>
      </c>
      <c r="D800" s="291"/>
      <c r="E800" s="291"/>
      <c r="F800" s="103"/>
      <c r="G800" s="291">
        <f>SUM(D800:F800)</f>
        <v>0</v>
      </c>
    </row>
    <row r="801" spans="1:7">
      <c r="A801" s="486"/>
      <c r="C801" s="196" t="s">
        <v>325</v>
      </c>
      <c r="D801" s="302">
        <v>28900</v>
      </c>
      <c r="E801" s="302"/>
      <c r="F801" s="103">
        <v>-8900</v>
      </c>
      <c r="G801" s="302">
        <f>SUM(D801:F801)</f>
        <v>20000</v>
      </c>
    </row>
    <row r="802" spans="1:7">
      <c r="A802" s="486"/>
      <c r="C802" s="191" t="s">
        <v>121</v>
      </c>
      <c r="D802" s="281">
        <v>21730</v>
      </c>
      <c r="E802" s="281"/>
      <c r="F802" s="515">
        <v>-6692</v>
      </c>
      <c r="G802" s="281">
        <f>SUM(D802:F802)</f>
        <v>15038</v>
      </c>
    </row>
    <row r="803" spans="1:7">
      <c r="A803" s="486"/>
      <c r="C803" s="182"/>
      <c r="D803" s="281"/>
      <c r="E803" s="281"/>
      <c r="F803" s="103"/>
      <c r="G803" s="281">
        <f>SUM(D803:F803)</f>
        <v>0</v>
      </c>
    </row>
    <row r="804" spans="1:7">
      <c r="A804" s="486"/>
      <c r="C804" s="483"/>
      <c r="D804" s="292"/>
      <c r="E804" s="292"/>
      <c r="F804" s="103"/>
      <c r="G804" s="292">
        <f>SUM(D804:F804)</f>
        <v>0</v>
      </c>
    </row>
    <row r="805" spans="1:7">
      <c r="A805" s="486"/>
      <c r="C805" s="195" t="s">
        <v>243</v>
      </c>
      <c r="D805" s="291"/>
      <c r="E805" s="291"/>
      <c r="F805" s="103"/>
      <c r="G805" s="291">
        <f>SUM(D805:F805)</f>
        <v>0</v>
      </c>
    </row>
    <row r="806" spans="1:7">
      <c r="A806" s="486"/>
      <c r="C806" s="196" t="s">
        <v>326</v>
      </c>
      <c r="D806" s="302">
        <v>69100</v>
      </c>
      <c r="E806" s="302"/>
      <c r="F806" s="103">
        <v>-11100</v>
      </c>
      <c r="G806" s="302">
        <f>SUM(D806:F806)</f>
        <v>58000</v>
      </c>
    </row>
    <row r="807" spans="1:7">
      <c r="A807" s="486"/>
      <c r="C807" s="191" t="s">
        <v>121</v>
      </c>
      <c r="D807" s="281">
        <v>5980</v>
      </c>
      <c r="E807" s="281"/>
      <c r="F807" s="515">
        <v>-2900</v>
      </c>
      <c r="G807" s="281">
        <f>SUM(D807:F807)</f>
        <v>3080</v>
      </c>
    </row>
    <row r="808" spans="1:7">
      <c r="A808" s="486"/>
      <c r="C808" s="182"/>
      <c r="D808" s="281"/>
      <c r="E808" s="281"/>
      <c r="F808" s="103"/>
      <c r="G808" s="281">
        <f>SUM(D808:F808)</f>
        <v>0</v>
      </c>
    </row>
    <row r="809" spans="1:7">
      <c r="A809" s="486"/>
      <c r="C809" s="5"/>
      <c r="D809" s="10"/>
      <c r="E809" s="10"/>
      <c r="F809" s="103"/>
      <c r="G809" s="10">
        <f>SUM(D809:F809)</f>
        <v>0</v>
      </c>
    </row>
    <row r="810" spans="1:7">
      <c r="A810" s="486"/>
      <c r="C810" s="229" t="s">
        <v>327</v>
      </c>
      <c r="D810" s="277">
        <f>D813+D817+D821+D826+D831+D836</f>
        <v>862500</v>
      </c>
      <c r="E810" s="277">
        <f t="shared" ref="E810:F810" si="36">E813+E817+E821+E826+E831+E836</f>
        <v>0</v>
      </c>
      <c r="F810" s="277">
        <f t="shared" si="36"/>
        <v>79220</v>
      </c>
      <c r="G810" s="277">
        <f>SUM(D810:F810)</f>
        <v>941720</v>
      </c>
    </row>
    <row r="811" spans="1:7">
      <c r="A811" s="486"/>
      <c r="C811" s="182" t="s">
        <v>121</v>
      </c>
      <c r="D811" s="281">
        <f>D827+D832+D822</f>
        <v>33620</v>
      </c>
      <c r="E811" s="281"/>
      <c r="F811" s="103"/>
      <c r="G811" s="281">
        <f>SUM(D811:F811)</f>
        <v>33620</v>
      </c>
    </row>
    <row r="812" spans="1:7">
      <c r="A812" s="486"/>
      <c r="C812" s="195" t="s">
        <v>243</v>
      </c>
      <c r="D812" s="291"/>
      <c r="E812" s="291"/>
      <c r="F812" s="103"/>
      <c r="G812" s="291">
        <f>SUM(D812:F812)</f>
        <v>0</v>
      </c>
    </row>
    <row r="813" spans="1:7">
      <c r="A813" s="486"/>
      <c r="C813" s="196" t="s">
        <v>328</v>
      </c>
      <c r="D813" s="302">
        <v>52500</v>
      </c>
      <c r="E813" s="302"/>
      <c r="F813" s="103"/>
      <c r="G813" s="302">
        <f>SUM(D813:F813)</f>
        <v>52500</v>
      </c>
    </row>
    <row r="814" spans="1:7">
      <c r="A814" s="486"/>
      <c r="C814" s="182"/>
      <c r="D814" s="281"/>
      <c r="E814" s="281"/>
      <c r="F814" s="103"/>
      <c r="G814" s="281">
        <f>SUM(D814:F814)</f>
        <v>0</v>
      </c>
    </row>
    <row r="815" spans="1:7">
      <c r="A815" s="486"/>
      <c r="C815" s="172"/>
      <c r="D815" s="287"/>
      <c r="E815" s="287"/>
      <c r="F815" s="103"/>
      <c r="G815" s="287">
        <f>SUM(D815:F815)</f>
        <v>0</v>
      </c>
    </row>
    <row r="816" spans="1:7">
      <c r="A816" s="486"/>
      <c r="C816" s="195" t="s">
        <v>243</v>
      </c>
      <c r="D816" s="291"/>
      <c r="E816" s="291"/>
      <c r="F816" s="103"/>
      <c r="G816" s="291">
        <f>SUM(D816:F816)</f>
        <v>0</v>
      </c>
    </row>
    <row r="817" spans="1:7">
      <c r="A817" s="486"/>
      <c r="C817" s="196" t="s">
        <v>329</v>
      </c>
      <c r="D817" s="302">
        <v>327500</v>
      </c>
      <c r="E817" s="302"/>
      <c r="F817" s="103">
        <v>76550</v>
      </c>
      <c r="G817" s="302">
        <f>SUM(D817:F817)</f>
        <v>404050</v>
      </c>
    </row>
    <row r="818" spans="1:7">
      <c r="A818" s="486"/>
      <c r="C818" s="182"/>
      <c r="D818" s="281"/>
      <c r="E818" s="281"/>
      <c r="F818" s="103"/>
      <c r="G818" s="281">
        <f>SUM(D818:F818)</f>
        <v>0</v>
      </c>
    </row>
    <row r="819" spans="1:7">
      <c r="A819" s="486"/>
      <c r="C819" s="182"/>
      <c r="D819" s="281"/>
      <c r="E819" s="281"/>
      <c r="F819" s="103"/>
      <c r="G819" s="281">
        <f>SUM(D819:F819)</f>
        <v>0</v>
      </c>
    </row>
    <row r="820" spans="1:7">
      <c r="A820" s="486"/>
      <c r="C820" s="195" t="s">
        <v>243</v>
      </c>
      <c r="D820" s="291"/>
      <c r="E820" s="291"/>
      <c r="F820" s="103"/>
      <c r="G820" s="291">
        <f>SUM(D820:F820)</f>
        <v>0</v>
      </c>
    </row>
    <row r="821" spans="1:7">
      <c r="A821" s="486"/>
      <c r="C821" s="196" t="s">
        <v>330</v>
      </c>
      <c r="D821" s="302">
        <v>333700</v>
      </c>
      <c r="E821" s="302"/>
      <c r="F821" s="103"/>
      <c r="G821" s="302">
        <f>SUM(D821:F821)</f>
        <v>333700</v>
      </c>
    </row>
    <row r="822" spans="1:7">
      <c r="A822" s="486"/>
      <c r="C822" s="191" t="s">
        <v>121</v>
      </c>
      <c r="D822" s="427">
        <v>5230</v>
      </c>
      <c r="E822" s="427"/>
      <c r="F822" s="103"/>
      <c r="G822" s="427">
        <f>SUM(D822:F822)</f>
        <v>5230</v>
      </c>
    </row>
    <row r="823" spans="1:7">
      <c r="A823" s="486"/>
      <c r="C823" s="182"/>
      <c r="D823" s="281"/>
      <c r="E823" s="281"/>
      <c r="F823" s="103"/>
      <c r="G823" s="281">
        <f>SUM(D823:F823)</f>
        <v>0</v>
      </c>
    </row>
    <row r="824" spans="1:7">
      <c r="A824" s="486"/>
      <c r="C824" s="182"/>
      <c r="D824" s="281"/>
      <c r="E824" s="281"/>
      <c r="F824" s="103"/>
      <c r="G824" s="281">
        <f>SUM(D824:F824)</f>
        <v>0</v>
      </c>
    </row>
    <row r="825" spans="1:7">
      <c r="A825" s="486"/>
      <c r="C825" s="195" t="s">
        <v>243</v>
      </c>
      <c r="D825" s="291"/>
      <c r="E825" s="291"/>
      <c r="F825" s="103"/>
      <c r="G825" s="291">
        <f>SUM(D825:F825)</f>
        <v>0</v>
      </c>
    </row>
    <row r="826" spans="1:7">
      <c r="A826" s="486"/>
      <c r="C826" s="196" t="s">
        <v>331</v>
      </c>
      <c r="D826" s="302">
        <v>82100</v>
      </c>
      <c r="E826" s="302"/>
      <c r="F826" s="103"/>
      <c r="G826" s="302">
        <f>SUM(D826:F826)</f>
        <v>82100</v>
      </c>
    </row>
    <row r="827" spans="1:7">
      <c r="A827" s="486"/>
      <c r="C827" s="191" t="s">
        <v>121</v>
      </c>
      <c r="D827" s="281">
        <v>24660</v>
      </c>
      <c r="E827" s="281"/>
      <c r="F827" s="103"/>
      <c r="G827" s="281">
        <f>SUM(D827:F827)</f>
        <v>24660</v>
      </c>
    </row>
    <row r="828" spans="1:7">
      <c r="A828" s="486"/>
      <c r="C828" s="194"/>
      <c r="D828" s="289"/>
      <c r="E828" s="289"/>
      <c r="F828" s="103"/>
      <c r="G828" s="289">
        <f>SUM(D828:F828)</f>
        <v>0</v>
      </c>
    </row>
    <row r="829" spans="1:7">
      <c r="A829" s="486"/>
      <c r="C829" s="182"/>
      <c r="D829" s="281"/>
      <c r="E829" s="281"/>
      <c r="F829" s="103"/>
      <c r="G829" s="281">
        <f>SUM(D829:F829)</f>
        <v>0</v>
      </c>
    </row>
    <row r="830" spans="1:7">
      <c r="A830" s="486"/>
      <c r="C830" s="195" t="s">
        <v>243</v>
      </c>
      <c r="D830" s="291"/>
      <c r="E830" s="291"/>
      <c r="F830" s="103"/>
      <c r="G830" s="291">
        <f>SUM(D830:F830)</f>
        <v>0</v>
      </c>
    </row>
    <row r="831" spans="1:7">
      <c r="A831" s="486"/>
      <c r="C831" s="196" t="s">
        <v>332</v>
      </c>
      <c r="D831" s="302">
        <v>26000</v>
      </c>
      <c r="E831" s="302"/>
      <c r="F831" s="103"/>
      <c r="G831" s="302">
        <f>SUM(D831:F831)</f>
        <v>26000</v>
      </c>
    </row>
    <row r="832" spans="1:7">
      <c r="A832" s="486"/>
      <c r="C832" s="191" t="s">
        <v>121</v>
      </c>
      <c r="D832" s="281">
        <v>3730</v>
      </c>
      <c r="E832" s="281"/>
      <c r="F832" s="103"/>
      <c r="G832" s="281">
        <f>SUM(D832:F832)</f>
        <v>3730</v>
      </c>
    </row>
    <row r="833" spans="1:7">
      <c r="A833" s="486"/>
      <c r="C833" s="182"/>
      <c r="D833" s="281"/>
      <c r="E833" s="281"/>
      <c r="F833" s="103"/>
      <c r="G833" s="281">
        <f>SUM(D833:F833)</f>
        <v>0</v>
      </c>
    </row>
    <row r="834" spans="1:7">
      <c r="A834" s="486"/>
      <c r="C834" s="182"/>
      <c r="D834" s="281"/>
      <c r="E834" s="281"/>
      <c r="F834" s="103"/>
      <c r="G834" s="281">
        <f>SUM(D834:F834)</f>
        <v>0</v>
      </c>
    </row>
    <row r="835" spans="1:7">
      <c r="A835" s="486"/>
      <c r="C835" s="195" t="s">
        <v>243</v>
      </c>
      <c r="D835" s="291"/>
      <c r="E835" s="291"/>
      <c r="F835" s="103"/>
      <c r="G835" s="291">
        <f>SUM(D835:F835)</f>
        <v>0</v>
      </c>
    </row>
    <row r="836" spans="1:7">
      <c r="A836" s="486"/>
      <c r="C836" s="196" t="s">
        <v>333</v>
      </c>
      <c r="D836" s="302">
        <v>40700</v>
      </c>
      <c r="E836" s="302"/>
      <c r="F836" s="103">
        <v>2670</v>
      </c>
      <c r="G836" s="302">
        <f>SUM(D836:F836)</f>
        <v>43370</v>
      </c>
    </row>
    <row r="837" spans="1:7">
      <c r="A837" s="486"/>
      <c r="C837" s="182"/>
      <c r="D837" s="281"/>
      <c r="E837" s="281"/>
      <c r="F837" s="103"/>
      <c r="G837" s="281">
        <f>SUM(D837:F837)</f>
        <v>0</v>
      </c>
    </row>
    <row r="838" spans="1:7">
      <c r="A838" s="486"/>
      <c r="C838" s="206"/>
      <c r="D838" s="292"/>
      <c r="E838" s="292"/>
      <c r="F838" s="103"/>
      <c r="G838" s="292">
        <f>SUM(D838:F838)</f>
        <v>0</v>
      </c>
    </row>
    <row r="839" spans="1:7">
      <c r="A839" s="486"/>
      <c r="C839" s="229" t="s">
        <v>334</v>
      </c>
      <c r="D839" s="277">
        <f>D842</f>
        <v>10000</v>
      </c>
      <c r="E839" s="277"/>
      <c r="F839" s="103"/>
      <c r="G839" s="277">
        <f>SUM(D839:F839)</f>
        <v>10000</v>
      </c>
    </row>
    <row r="840" spans="1:7">
      <c r="A840" s="486"/>
      <c r="C840" s="182" t="s">
        <v>121</v>
      </c>
      <c r="D840" s="281">
        <f>D843</f>
        <v>660</v>
      </c>
      <c r="E840" s="281"/>
      <c r="F840" s="103"/>
      <c r="G840" s="281">
        <f>SUM(D840:F840)</f>
        <v>660</v>
      </c>
    </row>
    <row r="841" spans="1:7">
      <c r="A841" s="486"/>
      <c r="C841" s="195" t="s">
        <v>243</v>
      </c>
      <c r="D841" s="291"/>
      <c r="E841" s="291"/>
      <c r="F841" s="103"/>
      <c r="G841" s="291">
        <f>SUM(D841:F841)</f>
        <v>0</v>
      </c>
    </row>
    <row r="842" spans="1:7">
      <c r="A842" s="486"/>
      <c r="C842" s="196" t="s">
        <v>335</v>
      </c>
      <c r="D842" s="302">
        <v>10000</v>
      </c>
      <c r="E842" s="302"/>
      <c r="F842" s="103"/>
      <c r="G842" s="302">
        <f>SUM(D842:F842)</f>
        <v>10000</v>
      </c>
    </row>
    <row r="843" spans="1:7">
      <c r="A843" s="486"/>
      <c r="C843" s="191" t="s">
        <v>121</v>
      </c>
      <c r="D843" s="281">
        <v>660</v>
      </c>
      <c r="E843" s="281"/>
      <c r="F843" s="103"/>
      <c r="G843" s="281">
        <f>SUM(D843:F843)</f>
        <v>660</v>
      </c>
    </row>
    <row r="844" spans="1:7">
      <c r="A844" s="486"/>
      <c r="C844" s="182"/>
      <c r="D844" s="281"/>
      <c r="E844" s="281"/>
      <c r="F844" s="103"/>
      <c r="G844" s="281">
        <f>SUM(D844:F844)</f>
        <v>0</v>
      </c>
    </row>
    <row r="845" spans="1:7">
      <c r="A845" s="486"/>
      <c r="C845" s="205"/>
      <c r="D845" s="303"/>
      <c r="E845" s="303"/>
      <c r="F845" s="103"/>
      <c r="G845" s="303">
        <f>SUM(D845:F845)</f>
        <v>0</v>
      </c>
    </row>
    <row r="846" spans="1:7" ht="15">
      <c r="A846" s="486" t="s">
        <v>676</v>
      </c>
      <c r="B846" s="5" t="s">
        <v>320</v>
      </c>
      <c r="C846" s="185" t="s">
        <v>316</v>
      </c>
      <c r="D846" s="297">
        <f>D847</f>
        <v>765100</v>
      </c>
      <c r="E846" s="297">
        <f t="shared" ref="E846:F846" si="37">E847</f>
        <v>0</v>
      </c>
      <c r="F846" s="297">
        <f t="shared" si="37"/>
        <v>60000</v>
      </c>
      <c r="G846" s="297">
        <f>SUM(D846:F846)</f>
        <v>825100</v>
      </c>
    </row>
    <row r="847" spans="1:7">
      <c r="A847" s="486"/>
      <c r="C847" s="229" t="s">
        <v>336</v>
      </c>
      <c r="D847" s="277">
        <f>D850</f>
        <v>765100</v>
      </c>
      <c r="E847" s="277">
        <f t="shared" ref="E847:F847" si="38">E850</f>
        <v>0</v>
      </c>
      <c r="F847" s="277">
        <f t="shared" si="38"/>
        <v>60000</v>
      </c>
      <c r="G847" s="277">
        <f>SUM(D847:F847)</f>
        <v>825100</v>
      </c>
    </row>
    <row r="848" spans="1:7">
      <c r="A848" s="486"/>
      <c r="C848" s="182" t="s">
        <v>121</v>
      </c>
      <c r="D848" s="281">
        <f>D851</f>
        <v>254213</v>
      </c>
      <c r="E848" s="281"/>
      <c r="F848" s="103"/>
      <c r="G848" s="281">
        <f>SUM(D848:F848)</f>
        <v>254213</v>
      </c>
    </row>
    <row r="849" spans="1:7">
      <c r="A849" s="486"/>
      <c r="C849" s="195" t="s">
        <v>243</v>
      </c>
      <c r="D849" s="291"/>
      <c r="E849" s="291"/>
      <c r="F849" s="103"/>
      <c r="G849" s="291">
        <f>SUM(D849:F849)</f>
        <v>0</v>
      </c>
    </row>
    <row r="850" spans="1:7">
      <c r="A850" s="486"/>
      <c r="C850" s="196" t="s">
        <v>337</v>
      </c>
      <c r="D850" s="302">
        <f>795100-30000</f>
        <v>765100</v>
      </c>
      <c r="E850" s="302"/>
      <c r="F850" s="103">
        <v>60000</v>
      </c>
      <c r="G850" s="302">
        <f>SUM(D850:F850)</f>
        <v>825100</v>
      </c>
    </row>
    <row r="851" spans="1:7">
      <c r="A851" s="486"/>
      <c r="C851" s="191" t="s">
        <v>121</v>
      </c>
      <c r="D851" s="281">
        <f>276634-22421</f>
        <v>254213</v>
      </c>
      <c r="E851" s="281"/>
      <c r="F851" s="103"/>
      <c r="G851" s="281">
        <f>SUM(D851:F851)</f>
        <v>254213</v>
      </c>
    </row>
    <row r="852" spans="1:7">
      <c r="A852" s="486"/>
      <c r="C852" s="203" t="s">
        <v>338</v>
      </c>
      <c r="D852" s="281"/>
      <c r="E852" s="281"/>
      <c r="F852" s="103"/>
      <c r="G852" s="281">
        <f>SUM(D852:F852)</f>
        <v>0</v>
      </c>
    </row>
    <row r="853" spans="1:7">
      <c r="A853" s="486"/>
      <c r="C853" s="182"/>
      <c r="D853" s="281"/>
      <c r="E853" s="281"/>
      <c r="F853" s="103"/>
      <c r="G853" s="281">
        <f>SUM(D853:F853)</f>
        <v>0</v>
      </c>
    </row>
    <row r="854" spans="1:7">
      <c r="A854" s="486"/>
      <c r="C854" s="205"/>
      <c r="D854" s="303"/>
      <c r="E854" s="303"/>
      <c r="F854" s="103"/>
      <c r="G854" s="303">
        <f>SUM(D854:F854)</f>
        <v>0</v>
      </c>
    </row>
    <row r="855" spans="1:7">
      <c r="A855" s="486"/>
      <c r="C855" s="186" t="s">
        <v>244</v>
      </c>
      <c r="D855" s="277">
        <f>D857+D860+D865+D867+D869+D871+D873+D875+D877+D879+D881+D895+D883</f>
        <v>6707251</v>
      </c>
      <c r="E855" s="277">
        <f>E857+E860+E865+E867+E869+E871+E873+E875+E877+E879+E881+E895+E883</f>
        <v>74406</v>
      </c>
      <c r="F855" s="277">
        <f>F857+F860+F865+F867+F869+F871+F873+F875+F877+F879+F881+F895+F883+F885+F887+F889+F891+F893</f>
        <v>90119</v>
      </c>
      <c r="G855" s="277">
        <f>SUM(D855:F855)</f>
        <v>6871776</v>
      </c>
    </row>
    <row r="856" spans="1:7">
      <c r="A856" s="486"/>
      <c r="C856" s="206"/>
      <c r="D856" s="292"/>
      <c r="E856" s="292"/>
      <c r="F856" s="103"/>
      <c r="G856" s="292">
        <f>SUM(D856:F856)</f>
        <v>0</v>
      </c>
    </row>
    <row r="857" spans="1:7">
      <c r="A857" s="486" t="s">
        <v>840</v>
      </c>
      <c r="B857" s="5" t="s">
        <v>320</v>
      </c>
      <c r="C857" s="216" t="s">
        <v>339</v>
      </c>
      <c r="D857" s="280">
        <v>1971550</v>
      </c>
      <c r="E857" s="280">
        <v>74406</v>
      </c>
      <c r="F857" s="103">
        <v>-5381</v>
      </c>
      <c r="G857" s="280">
        <f>SUM(D857:F857)</f>
        <v>2040575</v>
      </c>
    </row>
    <row r="858" spans="1:7">
      <c r="A858" s="486"/>
      <c r="C858" s="171" t="s">
        <v>121</v>
      </c>
      <c r="D858" s="281">
        <v>1322167</v>
      </c>
      <c r="E858" s="281">
        <v>55610</v>
      </c>
      <c r="F858" s="515">
        <v>-4022</v>
      </c>
      <c r="G858" s="281">
        <f>SUM(D858:F858)</f>
        <v>1373755</v>
      </c>
    </row>
    <row r="859" spans="1:7">
      <c r="A859" s="486"/>
      <c r="C859" s="171"/>
      <c r="D859" s="281"/>
      <c r="E859" s="281"/>
      <c r="F859" s="103"/>
      <c r="G859" s="281">
        <f>SUM(D859:F859)</f>
        <v>0</v>
      </c>
    </row>
    <row r="860" spans="1:7">
      <c r="A860" s="486" t="s">
        <v>840</v>
      </c>
      <c r="B860" s="5" t="s">
        <v>320</v>
      </c>
      <c r="C860" s="193" t="s">
        <v>340</v>
      </c>
      <c r="D860" s="282">
        <f>D861+D862+D863</f>
        <v>284000</v>
      </c>
      <c r="E860" s="282"/>
      <c r="F860" s="103"/>
      <c r="G860" s="282">
        <f>SUM(D860:F860)</f>
        <v>284000</v>
      </c>
    </row>
    <row r="861" spans="1:7">
      <c r="A861" s="486"/>
      <c r="C861" s="231" t="s">
        <v>341</v>
      </c>
      <c r="D861" s="324">
        <v>165000</v>
      </c>
      <c r="E861" s="324"/>
      <c r="F861" s="103"/>
      <c r="G861" s="324">
        <f>SUM(D861:F861)</f>
        <v>165000</v>
      </c>
    </row>
    <row r="862" spans="1:7">
      <c r="A862" s="486"/>
      <c r="C862" s="231" t="s">
        <v>342</v>
      </c>
      <c r="D862" s="324">
        <v>40000</v>
      </c>
      <c r="E862" s="324"/>
      <c r="F862" s="103"/>
      <c r="G862" s="324">
        <f>SUM(D862:F862)</f>
        <v>40000</v>
      </c>
    </row>
    <row r="863" spans="1:7">
      <c r="A863" s="486"/>
      <c r="C863" s="231" t="s">
        <v>343</v>
      </c>
      <c r="D863" s="324">
        <v>79000</v>
      </c>
      <c r="E863" s="324"/>
      <c r="F863" s="103"/>
      <c r="G863" s="324">
        <f>SUM(D863:F863)</f>
        <v>79000</v>
      </c>
    </row>
    <row r="864" spans="1:7">
      <c r="A864" s="486"/>
      <c r="C864" s="231"/>
      <c r="D864" s="324"/>
      <c r="E864" s="324"/>
      <c r="F864" s="103"/>
      <c r="G864" s="324">
        <f>SUM(D864:F864)</f>
        <v>0</v>
      </c>
    </row>
    <row r="865" spans="1:7">
      <c r="A865" s="486" t="s">
        <v>840</v>
      </c>
      <c r="B865" s="5" t="s">
        <v>320</v>
      </c>
      <c r="C865" s="193" t="s">
        <v>344</v>
      </c>
      <c r="D865" s="282">
        <v>593766</v>
      </c>
      <c r="E865" s="282"/>
      <c r="F865" s="103"/>
      <c r="G865" s="282">
        <f>SUM(D865:F865)</f>
        <v>593766</v>
      </c>
    </row>
    <row r="866" spans="1:7">
      <c r="A866" s="486"/>
      <c r="C866" s="232"/>
      <c r="D866" s="278"/>
      <c r="E866" s="278"/>
      <c r="F866" s="103"/>
      <c r="G866" s="278">
        <f>SUM(D866:F866)</f>
        <v>0</v>
      </c>
    </row>
    <row r="867" spans="1:7">
      <c r="A867" s="486" t="s">
        <v>671</v>
      </c>
      <c r="B867" s="5" t="s">
        <v>320</v>
      </c>
      <c r="C867" s="216" t="s">
        <v>346</v>
      </c>
      <c r="D867" s="280">
        <f>3508000+84500</f>
        <v>3592500</v>
      </c>
      <c r="E867" s="280"/>
      <c r="F867" s="103"/>
      <c r="G867" s="280">
        <f>SUM(D867:F867)</f>
        <v>3592500</v>
      </c>
    </row>
    <row r="868" spans="1:7">
      <c r="A868" s="486"/>
      <c r="C868" s="233"/>
      <c r="D868" s="210"/>
      <c r="E868" s="210"/>
      <c r="F868" s="103"/>
      <c r="G868" s="210">
        <f>SUM(D868:F868)</f>
        <v>0</v>
      </c>
    </row>
    <row r="869" spans="1:7">
      <c r="A869" s="486" t="s">
        <v>840</v>
      </c>
      <c r="B869" s="5" t="s">
        <v>320</v>
      </c>
      <c r="C869" s="193" t="s">
        <v>1005</v>
      </c>
      <c r="D869" s="282">
        <v>20570</v>
      </c>
      <c r="E869" s="282"/>
      <c r="F869" s="103"/>
      <c r="G869" s="282">
        <f>SUM(D869:F869)</f>
        <v>20570</v>
      </c>
    </row>
    <row r="870" spans="1:7">
      <c r="A870" s="486"/>
      <c r="C870" s="193"/>
      <c r="D870" s="282"/>
      <c r="E870" s="282"/>
      <c r="F870" s="103"/>
      <c r="G870" s="282">
        <f>SUM(D870:F870)</f>
        <v>0</v>
      </c>
    </row>
    <row r="871" spans="1:7">
      <c r="A871" s="486" t="s">
        <v>840</v>
      </c>
      <c r="B871" s="5" t="s">
        <v>320</v>
      </c>
      <c r="C871" s="193" t="s">
        <v>1006</v>
      </c>
      <c r="D871" s="282">
        <v>18000</v>
      </c>
      <c r="E871" s="282"/>
      <c r="F871" s="103"/>
      <c r="G871" s="282">
        <f>SUM(D871:F871)</f>
        <v>18000</v>
      </c>
    </row>
    <row r="872" spans="1:7">
      <c r="A872" s="486"/>
      <c r="C872" s="193"/>
      <c r="D872" s="282"/>
      <c r="E872" s="282"/>
      <c r="F872" s="103"/>
      <c r="G872" s="282">
        <f>SUM(D872:F872)</f>
        <v>0</v>
      </c>
    </row>
    <row r="873" spans="1:7">
      <c r="A873" s="486" t="s">
        <v>840</v>
      </c>
      <c r="B873" s="5" t="s">
        <v>320</v>
      </c>
      <c r="C873" s="193" t="s">
        <v>1007</v>
      </c>
      <c r="D873" s="282">
        <v>85000</v>
      </c>
      <c r="E873" s="282"/>
      <c r="F873" s="103"/>
      <c r="G873" s="282">
        <f>SUM(D873:F873)</f>
        <v>85000</v>
      </c>
    </row>
    <row r="874" spans="1:7">
      <c r="A874" s="486"/>
      <c r="C874" s="193"/>
      <c r="D874" s="282"/>
      <c r="E874" s="282"/>
      <c r="F874" s="103"/>
      <c r="G874" s="282">
        <f>SUM(D874:F874)</f>
        <v>0</v>
      </c>
    </row>
    <row r="875" spans="1:7">
      <c r="A875" s="486" t="s">
        <v>840</v>
      </c>
      <c r="B875" s="5" t="s">
        <v>320</v>
      </c>
      <c r="C875" s="193" t="s">
        <v>1008</v>
      </c>
      <c r="D875" s="282">
        <v>10000</v>
      </c>
      <c r="E875" s="282"/>
      <c r="F875" s="103"/>
      <c r="G875" s="282">
        <f>SUM(D875:F875)</f>
        <v>10000</v>
      </c>
    </row>
    <row r="876" spans="1:7">
      <c r="A876" s="486"/>
      <c r="C876" s="193"/>
      <c r="D876" s="282"/>
      <c r="E876" s="282"/>
      <c r="F876" s="103"/>
      <c r="G876" s="282">
        <f>SUM(D876:F876)</f>
        <v>0</v>
      </c>
    </row>
    <row r="877" spans="1:7">
      <c r="A877" s="486" t="s">
        <v>670</v>
      </c>
      <c r="B877" s="5" t="s">
        <v>320</v>
      </c>
      <c r="C877" s="193" t="s">
        <v>1009</v>
      </c>
      <c r="D877" s="282">
        <v>10000</v>
      </c>
      <c r="E877" s="282"/>
      <c r="F877" s="103"/>
      <c r="G877" s="282">
        <f>SUM(D877:F877)</f>
        <v>10000</v>
      </c>
    </row>
    <row r="878" spans="1:7">
      <c r="A878" s="486"/>
      <c r="C878" s="193"/>
      <c r="D878" s="282"/>
      <c r="E878" s="282"/>
      <c r="F878" s="103"/>
      <c r="G878" s="282">
        <f>SUM(D878:F878)</f>
        <v>0</v>
      </c>
    </row>
    <row r="879" spans="1:7">
      <c r="A879" s="486" t="s">
        <v>840</v>
      </c>
      <c r="B879" s="5" t="s">
        <v>320</v>
      </c>
      <c r="C879" s="193" t="s">
        <v>1010</v>
      </c>
      <c r="D879" s="282">
        <v>25000</v>
      </c>
      <c r="E879" s="282"/>
      <c r="F879" s="103"/>
      <c r="G879" s="282">
        <f>SUM(D879:F879)</f>
        <v>25000</v>
      </c>
    </row>
    <row r="880" spans="1:7">
      <c r="A880" s="486"/>
      <c r="C880" s="193"/>
      <c r="D880" s="282"/>
      <c r="E880" s="282"/>
      <c r="F880" s="103"/>
      <c r="G880" s="282">
        <f>SUM(D880:F880)</f>
        <v>0</v>
      </c>
    </row>
    <row r="881" spans="1:7">
      <c r="A881" s="486" t="s">
        <v>840</v>
      </c>
      <c r="B881" s="5" t="s">
        <v>320</v>
      </c>
      <c r="C881" s="193" t="s">
        <v>1011</v>
      </c>
      <c r="D881" s="282">
        <v>15000</v>
      </c>
      <c r="E881" s="282"/>
      <c r="F881" s="103"/>
      <c r="G881" s="282">
        <f>SUM(D881:F881)</f>
        <v>15000</v>
      </c>
    </row>
    <row r="882" spans="1:7">
      <c r="A882" s="486"/>
      <c r="C882" s="193"/>
      <c r="D882" s="282"/>
      <c r="E882" s="282"/>
      <c r="F882" s="103"/>
      <c r="G882" s="282">
        <f>SUM(D882:F882)</f>
        <v>0</v>
      </c>
    </row>
    <row r="883" spans="1:7">
      <c r="A883" s="486" t="s">
        <v>840</v>
      </c>
      <c r="B883" s="5" t="s">
        <v>320</v>
      </c>
      <c r="C883" s="193" t="s">
        <v>1012</v>
      </c>
      <c r="D883" s="282">
        <v>8000</v>
      </c>
      <c r="E883" s="282"/>
      <c r="F883" s="103"/>
      <c r="G883" s="282">
        <f>SUM(D883:F883)</f>
        <v>8000</v>
      </c>
    </row>
    <row r="884" spans="1:7">
      <c r="A884" s="486"/>
      <c r="C884" s="193"/>
      <c r="D884" s="282"/>
      <c r="E884" s="282"/>
      <c r="F884" s="103"/>
      <c r="G884" s="282">
        <f>SUM(D884:F884)</f>
        <v>0</v>
      </c>
    </row>
    <row r="885" spans="1:7">
      <c r="A885" s="486" t="s">
        <v>840</v>
      </c>
      <c r="B885" s="5" t="s">
        <v>320</v>
      </c>
      <c r="C885" s="193" t="s">
        <v>1013</v>
      </c>
      <c r="D885" s="282"/>
      <c r="E885" s="282"/>
      <c r="F885" s="103">
        <v>20000</v>
      </c>
      <c r="G885" s="282">
        <f>SUM(D885:F885)</f>
        <v>20000</v>
      </c>
    </row>
    <row r="886" spans="1:7">
      <c r="A886" s="486"/>
      <c r="C886" s="193"/>
      <c r="D886" s="282"/>
      <c r="E886" s="282"/>
      <c r="F886" s="103"/>
      <c r="G886" s="282">
        <f>SUM(D886:F886)</f>
        <v>0</v>
      </c>
    </row>
    <row r="887" spans="1:7">
      <c r="A887" s="486" t="s">
        <v>840</v>
      </c>
      <c r="B887" s="5" t="s">
        <v>320</v>
      </c>
      <c r="C887" s="193" t="s">
        <v>1014</v>
      </c>
      <c r="D887" s="282"/>
      <c r="E887" s="282"/>
      <c r="F887" s="103">
        <v>10000</v>
      </c>
      <c r="G887" s="282">
        <f>SUM(D887:F887)</f>
        <v>10000</v>
      </c>
    </row>
    <row r="888" spans="1:7">
      <c r="A888" s="486"/>
      <c r="C888" s="193"/>
      <c r="D888" s="282"/>
      <c r="E888" s="282"/>
      <c r="F888" s="103"/>
      <c r="G888" s="282">
        <f>SUM(D888:F888)</f>
        <v>0</v>
      </c>
    </row>
    <row r="889" spans="1:7">
      <c r="A889" s="486" t="s">
        <v>840</v>
      </c>
      <c r="B889" s="5" t="s">
        <v>320</v>
      </c>
      <c r="C889" s="193" t="s">
        <v>1015</v>
      </c>
      <c r="D889" s="282"/>
      <c r="E889" s="282"/>
      <c r="F889" s="103">
        <v>10500</v>
      </c>
      <c r="G889" s="282">
        <f>SUM(D889:F889)</f>
        <v>10500</v>
      </c>
    </row>
    <row r="890" spans="1:7">
      <c r="A890" s="486"/>
      <c r="C890" s="193"/>
      <c r="D890" s="282"/>
      <c r="E890" s="282"/>
      <c r="F890" s="103"/>
      <c r="G890" s="282">
        <f>SUM(D890:F890)</f>
        <v>0</v>
      </c>
    </row>
    <row r="891" spans="1:7">
      <c r="A891" s="486" t="s">
        <v>840</v>
      </c>
      <c r="B891" s="5" t="s">
        <v>320</v>
      </c>
      <c r="C891" s="193" t="s">
        <v>1016</v>
      </c>
      <c r="D891" s="282"/>
      <c r="E891" s="282"/>
      <c r="F891" s="103">
        <v>35000</v>
      </c>
      <c r="G891" s="282">
        <f>SUM(D891:F891)</f>
        <v>35000</v>
      </c>
    </row>
    <row r="892" spans="1:7">
      <c r="A892" s="486"/>
      <c r="C892" s="193"/>
      <c r="D892" s="282"/>
      <c r="E892" s="282"/>
      <c r="F892" s="103"/>
      <c r="G892" s="282">
        <f>SUM(D892:F892)</f>
        <v>0</v>
      </c>
    </row>
    <row r="893" spans="1:7">
      <c r="A893" s="486" t="s">
        <v>840</v>
      </c>
      <c r="B893" s="5" t="s">
        <v>320</v>
      </c>
      <c r="C893" s="193" t="s">
        <v>1017</v>
      </c>
      <c r="D893" s="282"/>
      <c r="E893" s="282"/>
      <c r="F893" s="103">
        <v>20000</v>
      </c>
      <c r="G893" s="282">
        <f>SUM(D893:F893)</f>
        <v>20000</v>
      </c>
    </row>
    <row r="894" spans="1:7">
      <c r="A894" s="486"/>
      <c r="C894" s="193"/>
      <c r="D894" s="282"/>
      <c r="E894" s="282"/>
      <c r="F894" s="103"/>
      <c r="G894" s="282">
        <f>SUM(D894:F894)</f>
        <v>0</v>
      </c>
    </row>
    <row r="895" spans="1:7" ht="38.25">
      <c r="A895" s="486" t="s">
        <v>840</v>
      </c>
      <c r="B895" s="5" t="s">
        <v>320</v>
      </c>
      <c r="C895" s="239" t="s">
        <v>832</v>
      </c>
      <c r="D895" s="282">
        <v>73865</v>
      </c>
      <c r="E895" s="282"/>
      <c r="F895" s="103"/>
      <c r="G895" s="282">
        <f>SUM(D895:F895)</f>
        <v>73865</v>
      </c>
    </row>
    <row r="896" spans="1:7">
      <c r="A896" s="486"/>
      <c r="C896" s="171" t="s">
        <v>121</v>
      </c>
      <c r="D896" s="428">
        <v>11719</v>
      </c>
      <c r="E896" s="428"/>
      <c r="F896" s="103"/>
      <c r="G896" s="428">
        <f>SUM(D896:F896)</f>
        <v>11719</v>
      </c>
    </row>
    <row r="897" spans="1:26">
      <c r="A897" s="486"/>
      <c r="C897" s="171"/>
      <c r="D897" s="428"/>
      <c r="E897" s="428"/>
      <c r="F897" s="103"/>
      <c r="G897" s="428">
        <f>SUM(D897:F897)</f>
        <v>0</v>
      </c>
    </row>
    <row r="898" spans="1:26">
      <c r="A898" s="486"/>
      <c r="C898" s="172" t="s">
        <v>464</v>
      </c>
      <c r="D898" s="428">
        <v>62785</v>
      </c>
      <c r="E898" s="428"/>
      <c r="F898" s="103"/>
      <c r="G898" s="428">
        <f>SUM(D898:F898)</f>
        <v>62785</v>
      </c>
    </row>
    <row r="899" spans="1:26">
      <c r="A899" s="486"/>
      <c r="C899" s="141"/>
      <c r="D899" s="325"/>
      <c r="E899" s="325"/>
      <c r="F899" s="103"/>
      <c r="G899" s="325">
        <f>SUM(D899:F899)</f>
        <v>0</v>
      </c>
    </row>
    <row r="900" spans="1:26">
      <c r="A900" s="486"/>
      <c r="C900" s="141"/>
      <c r="D900" s="325"/>
      <c r="E900" s="325"/>
      <c r="G900" s="325">
        <f>SUM(D900:F900)</f>
        <v>0</v>
      </c>
    </row>
    <row r="901" spans="1:26" ht="15.75">
      <c r="A901" s="486"/>
      <c r="C901" s="184" t="s">
        <v>108</v>
      </c>
      <c r="D901" s="276"/>
      <c r="E901" s="276"/>
      <c r="G901" s="276">
        <f>SUM(D901:F901)</f>
        <v>0</v>
      </c>
    </row>
    <row r="902" spans="1:26">
      <c r="A902" s="486"/>
      <c r="C902" s="141"/>
      <c r="D902" s="325"/>
      <c r="E902" s="325"/>
      <c r="G902" s="325">
        <f>SUM(D902:F902)</f>
        <v>0</v>
      </c>
    </row>
    <row r="903" spans="1:26">
      <c r="A903" s="486"/>
      <c r="C903" s="186" t="s">
        <v>240</v>
      </c>
      <c r="D903" s="277">
        <f>SUM(D911,D932)</f>
        <v>76090948</v>
      </c>
      <c r="E903" s="277">
        <f t="shared" ref="E903" si="39">SUM(E911,E932)</f>
        <v>56730</v>
      </c>
      <c r="F903" s="277">
        <f>SUM(F911,F932)</f>
        <v>334457</v>
      </c>
      <c r="G903" s="277">
        <f>SUM(D903:F903)</f>
        <v>76482135</v>
      </c>
    </row>
    <row r="904" spans="1:26">
      <c r="A904" s="486"/>
      <c r="C904" s="187" t="s">
        <v>825</v>
      </c>
      <c r="D904" s="278">
        <v>1800000</v>
      </c>
      <c r="E904" s="278"/>
      <c r="F904" s="278"/>
      <c r="G904" s="278">
        <f>SUM(D904:F904)</f>
        <v>1800000</v>
      </c>
    </row>
    <row r="905" spans="1:26">
      <c r="A905" s="486"/>
      <c r="C905" s="197" t="s">
        <v>118</v>
      </c>
      <c r="D905" s="279">
        <f>SUM(D906:D908)</f>
        <v>76090948</v>
      </c>
      <c r="E905" s="279">
        <f t="shared" ref="E905" si="40">SUM(E906:E908)</f>
        <v>56730</v>
      </c>
      <c r="F905" s="279">
        <f>SUM(F906:F908)</f>
        <v>334457</v>
      </c>
      <c r="G905" s="279">
        <f>SUM(D905:F905)</f>
        <v>76482135</v>
      </c>
    </row>
    <row r="906" spans="1:26">
      <c r="A906" s="486"/>
      <c r="C906" s="189" t="s">
        <v>119</v>
      </c>
      <c r="D906" s="278">
        <f>'[3]2.2 OMATULUD'!B410</f>
        <v>1351873</v>
      </c>
      <c r="E906" s="278"/>
      <c r="F906" s="278">
        <v>-2684</v>
      </c>
      <c r="G906" s="278">
        <f>SUM(D906:F906)</f>
        <v>1349189</v>
      </c>
    </row>
    <row r="907" spans="1:26">
      <c r="A907" s="486"/>
      <c r="C907" s="173" t="s">
        <v>106</v>
      </c>
      <c r="D907" s="278">
        <f>SUM(D954,D959,D963,D968,D973,D978,D983,D988,D993)</f>
        <v>791999</v>
      </c>
      <c r="E907" s="278"/>
      <c r="F907" s="278">
        <f>SUM(F954,F959,F963,F968,F973,F978,F983,F988,F993,F997,F1002)</f>
        <v>21627</v>
      </c>
      <c r="G907" s="278">
        <f>SUM(D907:F907)</f>
        <v>813626</v>
      </c>
    </row>
    <row r="908" spans="1:26">
      <c r="A908" s="486"/>
      <c r="C908" s="173" t="s">
        <v>120</v>
      </c>
      <c r="D908" s="278">
        <f>D903-D906-D907</f>
        <v>73947076</v>
      </c>
      <c r="E908" s="278">
        <f t="shared" ref="E908" si="41">E903-E906-E907</f>
        <v>56730</v>
      </c>
      <c r="F908" s="278">
        <f>F903-F906-F907</f>
        <v>315514</v>
      </c>
      <c r="G908" s="278">
        <f>SUM(D908:F908)</f>
        <v>74319320</v>
      </c>
    </row>
    <row r="909" spans="1:26" s="493" customFormat="1">
      <c r="C909" s="603" t="s">
        <v>884</v>
      </c>
      <c r="D909" s="494">
        <f>D935+D952+D957+D966+D971+D976+D981+D986+D991</f>
        <v>1173013</v>
      </c>
      <c r="E909" s="494">
        <f>E935+E952+E957+E966+E971+E976+E981+E986+E991</f>
        <v>42399</v>
      </c>
      <c r="F909" s="494">
        <f>F935+F952+F957+F966+F971+F976+F981+F986+F991+F1000</f>
        <v>-38486</v>
      </c>
      <c r="G909" s="494">
        <f>SUM(D909:F909)</f>
        <v>1176926</v>
      </c>
      <c r="H909" s="495"/>
      <c r="I909" s="495"/>
      <c r="J909" s="495"/>
      <c r="K909" s="495"/>
      <c r="L909" s="495"/>
      <c r="M909" s="604"/>
      <c r="O909" s="495"/>
      <c r="P909" s="495"/>
      <c r="Q909" s="495"/>
      <c r="R909" s="604"/>
      <c r="T909" s="495"/>
      <c r="U909" s="495"/>
      <c r="V909" s="495"/>
      <c r="W909" s="604"/>
      <c r="Z909" s="103"/>
    </row>
    <row r="910" spans="1:26">
      <c r="A910" s="486"/>
      <c r="C910" s="261"/>
      <c r="D910" s="278"/>
      <c r="E910" s="278"/>
      <c r="G910" s="278">
        <f>SUM(D910:F910)</f>
        <v>0</v>
      </c>
    </row>
    <row r="911" spans="1:26" ht="15">
      <c r="A911" s="486" t="s">
        <v>841</v>
      </c>
      <c r="B911" s="5" t="s">
        <v>880</v>
      </c>
      <c r="C911" s="185" t="s">
        <v>563</v>
      </c>
      <c r="D911" s="297">
        <f>SUM(D912,D924,D929)</f>
        <v>72760300</v>
      </c>
      <c r="E911" s="297"/>
      <c r="F911" s="297">
        <f>SUM(F912,F924,F929)</f>
        <v>362941</v>
      </c>
      <c r="G911" s="297">
        <f>SUM(D911:F911)</f>
        <v>73123241</v>
      </c>
    </row>
    <row r="912" spans="1:26">
      <c r="A912" s="486"/>
      <c r="C912" s="181" t="s">
        <v>564</v>
      </c>
      <c r="D912" s="291">
        <f>SUM(D914,D918,D922)</f>
        <v>69535000</v>
      </c>
      <c r="E912" s="291"/>
      <c r="F912" s="291">
        <f>SUM(F914,F918,F922)</f>
        <v>362941</v>
      </c>
      <c r="G912" s="291">
        <f>SUM(D912:F912)</f>
        <v>69897941</v>
      </c>
    </row>
    <row r="913" spans="1:7">
      <c r="A913" s="486"/>
      <c r="C913" s="195" t="s">
        <v>243</v>
      </c>
      <c r="D913" s="291"/>
      <c r="E913" s="291"/>
      <c r="F913" s="291"/>
      <c r="G913" s="291">
        <f>SUM(D913:F913)</f>
        <v>0</v>
      </c>
    </row>
    <row r="914" spans="1:7">
      <c r="A914" s="486"/>
      <c r="C914" s="196" t="s">
        <v>565</v>
      </c>
      <c r="D914" s="302">
        <f>68054911+24100-11</f>
        <v>68079000</v>
      </c>
      <c r="E914" s="302"/>
      <c r="F914" s="302">
        <v>367000</v>
      </c>
      <c r="G914" s="302">
        <f>SUM(D914:F914)</f>
        <v>68446000</v>
      </c>
    </row>
    <row r="915" spans="1:7">
      <c r="A915" s="486"/>
      <c r="C915" s="196"/>
      <c r="D915" s="302"/>
      <c r="E915" s="302"/>
      <c r="F915" s="302"/>
      <c r="G915" s="302">
        <f>SUM(D915:F915)</f>
        <v>0</v>
      </c>
    </row>
    <row r="916" spans="1:7">
      <c r="A916" s="486"/>
      <c r="C916" s="179"/>
      <c r="D916" s="296"/>
      <c r="E916" s="296"/>
      <c r="F916" s="296"/>
      <c r="G916" s="296">
        <f>SUM(D916:F916)</f>
        <v>0</v>
      </c>
    </row>
    <row r="917" spans="1:7">
      <c r="A917" s="486"/>
      <c r="C917" s="195" t="s">
        <v>243</v>
      </c>
      <c r="D917" s="291"/>
      <c r="E917" s="291"/>
      <c r="F917" s="291"/>
      <c r="G917" s="291">
        <f>SUM(D917:F917)</f>
        <v>0</v>
      </c>
    </row>
    <row r="918" spans="1:7">
      <c r="A918" s="486"/>
      <c r="C918" s="196" t="s">
        <v>566</v>
      </c>
      <c r="D918" s="302">
        <v>1276000</v>
      </c>
      <c r="E918" s="302"/>
      <c r="F918" s="302"/>
      <c r="G918" s="302">
        <f>SUM(D918:F918)</f>
        <v>1276000</v>
      </c>
    </row>
    <row r="919" spans="1:7">
      <c r="A919" s="486"/>
      <c r="C919" s="263"/>
      <c r="D919" s="302"/>
      <c r="E919" s="302"/>
      <c r="F919" s="302"/>
      <c r="G919" s="302">
        <f>SUM(D919:F919)</f>
        <v>0</v>
      </c>
    </row>
    <row r="920" spans="1:7">
      <c r="A920" s="486"/>
      <c r="C920" s="262"/>
      <c r="D920" s="326"/>
      <c r="E920" s="326"/>
      <c r="F920" s="326"/>
      <c r="G920" s="326">
        <f>SUM(D920:F920)</f>
        <v>0</v>
      </c>
    </row>
    <row r="921" spans="1:7">
      <c r="A921" s="486"/>
      <c r="C921" s="195" t="s">
        <v>347</v>
      </c>
      <c r="D921" s="291"/>
      <c r="E921" s="291"/>
      <c r="F921" s="291"/>
      <c r="G921" s="291">
        <f>SUM(D921:F921)</f>
        <v>0</v>
      </c>
    </row>
    <row r="922" spans="1:7">
      <c r="A922" s="486"/>
      <c r="C922" s="196" t="s">
        <v>567</v>
      </c>
      <c r="D922" s="302">
        <v>180000</v>
      </c>
      <c r="E922" s="302"/>
      <c r="F922" s="302">
        <v>-4059</v>
      </c>
      <c r="G922" s="302">
        <f>SUM(D922:F922)</f>
        <v>175941</v>
      </c>
    </row>
    <row r="923" spans="1:7">
      <c r="A923" s="486"/>
      <c r="C923" s="377"/>
      <c r="D923" s="285"/>
      <c r="E923" s="285"/>
      <c r="F923" s="285"/>
      <c r="G923" s="285">
        <f>SUM(D923:F923)</f>
        <v>0</v>
      </c>
    </row>
    <row r="924" spans="1:7">
      <c r="A924" s="486"/>
      <c r="C924" s="181" t="s">
        <v>568</v>
      </c>
      <c r="D924" s="291">
        <v>1832600</v>
      </c>
      <c r="E924" s="291"/>
      <c r="F924" s="291"/>
      <c r="G924" s="291">
        <f>SUM(D924:F924)</f>
        <v>1832600</v>
      </c>
    </row>
    <row r="925" spans="1:7">
      <c r="A925" s="486"/>
      <c r="C925" s="181"/>
      <c r="D925" s="291"/>
      <c r="E925" s="291"/>
      <c r="F925" s="291"/>
      <c r="G925" s="291">
        <f>SUM(D925:F925)</f>
        <v>0</v>
      </c>
    </row>
    <row r="926" spans="1:7">
      <c r="A926" s="486"/>
      <c r="C926" s="397"/>
      <c r="D926" s="398"/>
      <c r="E926" s="398"/>
      <c r="F926" s="398"/>
      <c r="G926" s="398">
        <f>SUM(D926:F926)</f>
        <v>0</v>
      </c>
    </row>
    <row r="927" spans="1:7" ht="24.95" customHeight="1">
      <c r="A927" s="486"/>
      <c r="C927" s="399" t="s">
        <v>569</v>
      </c>
      <c r="D927" s="310"/>
      <c r="E927" s="310"/>
      <c r="F927" s="310"/>
      <c r="G927" s="310">
        <f>SUM(D927:F927)</f>
        <v>0</v>
      </c>
    </row>
    <row r="928" spans="1:7">
      <c r="A928" s="486"/>
      <c r="C928" s="263"/>
      <c r="D928" s="302"/>
      <c r="E928" s="302"/>
      <c r="F928" s="302"/>
      <c r="G928" s="302">
        <f>SUM(D928:F928)</f>
        <v>0</v>
      </c>
    </row>
    <row r="929" spans="1:7">
      <c r="A929" s="486"/>
      <c r="C929" s="181" t="s">
        <v>570</v>
      </c>
      <c r="D929" s="291">
        <v>1392700</v>
      </c>
      <c r="E929" s="291"/>
      <c r="F929" s="291"/>
      <c r="G929" s="291">
        <f>SUM(D929:F929)</f>
        <v>1392700</v>
      </c>
    </row>
    <row r="930" spans="1:7">
      <c r="A930" s="486"/>
      <c r="C930" s="263"/>
      <c r="D930" s="302"/>
      <c r="E930" s="302"/>
      <c r="F930" s="302"/>
      <c r="G930" s="302">
        <f>SUM(D930:F930)</f>
        <v>0</v>
      </c>
    </row>
    <row r="931" spans="1:7">
      <c r="A931" s="486"/>
      <c r="C931" s="263"/>
      <c r="D931" s="302"/>
      <c r="E931" s="302"/>
      <c r="F931" s="302"/>
      <c r="G931" s="302">
        <f>SUM(D931:F931)</f>
        <v>0</v>
      </c>
    </row>
    <row r="932" spans="1:7">
      <c r="A932" s="486"/>
      <c r="C932" s="186" t="s">
        <v>244</v>
      </c>
      <c r="D932" s="277">
        <f>SUM(D934,D937,D942,D946,D951,D956,D961,D965,D970,D975,D980,D985,D990,D1004,D1006)</f>
        <v>3330648</v>
      </c>
      <c r="E932" s="277">
        <f>SUM(E934,E937,E942,E946,E951,E956,E961,E965,E970,E975,E980,E985,E990,E1004,E1006)</f>
        <v>56730</v>
      </c>
      <c r="F932" s="277">
        <f>SUM(F934,F937,F942,F946,F951,F956,F961,F965,F970,F975,F980,F985,F990,F995,F999,F1004,F1006)</f>
        <v>-28484</v>
      </c>
      <c r="G932" s="277">
        <f>SUM(D932:F932)</f>
        <v>3358894</v>
      </c>
    </row>
    <row r="933" spans="1:7">
      <c r="A933" s="486"/>
      <c r="C933" s="186"/>
      <c r="D933" s="277"/>
      <c r="E933" s="277"/>
      <c r="F933" s="277"/>
      <c r="G933" s="277">
        <f>SUM(D933:F933)</f>
        <v>0</v>
      </c>
    </row>
    <row r="934" spans="1:7">
      <c r="A934" s="486" t="s">
        <v>841</v>
      </c>
      <c r="B934" s="5" t="s">
        <v>880</v>
      </c>
      <c r="C934" s="193" t="s">
        <v>108</v>
      </c>
      <c r="D934" s="282">
        <v>1559854</v>
      </c>
      <c r="E934" s="282">
        <v>56730</v>
      </c>
      <c r="F934" s="582">
        <f>-30620-18545-2980-5005</f>
        <v>-57150</v>
      </c>
      <c r="G934" s="282">
        <f>SUM(D934:F934)</f>
        <v>1559434</v>
      </c>
    </row>
    <row r="935" spans="1:7">
      <c r="A935" s="486"/>
      <c r="C935" s="171" t="s">
        <v>121</v>
      </c>
      <c r="D935" s="281">
        <v>1016612</v>
      </c>
      <c r="E935" s="281">
        <v>42399</v>
      </c>
      <c r="F935" s="542">
        <f>-22885-13860-3741</f>
        <v>-40486</v>
      </c>
      <c r="G935" s="281">
        <f>SUM(D935:F935)</f>
        <v>1018525</v>
      </c>
    </row>
    <row r="936" spans="1:7">
      <c r="A936" s="486"/>
      <c r="C936" s="232"/>
      <c r="D936" s="278"/>
      <c r="E936" s="278"/>
      <c r="F936" s="278"/>
      <c r="G936" s="278">
        <f>SUM(D936:F936)</f>
        <v>0</v>
      </c>
    </row>
    <row r="937" spans="1:7">
      <c r="A937" s="486" t="s">
        <v>841</v>
      </c>
      <c r="B937" s="5" t="s">
        <v>880</v>
      </c>
      <c r="C937" s="233" t="s">
        <v>571</v>
      </c>
      <c r="D937" s="210">
        <f>SUM(D938:D940)</f>
        <v>563800</v>
      </c>
      <c r="E937" s="210"/>
      <c r="F937" s="210"/>
      <c r="G937" s="210">
        <f>SUM(D937:F937)</f>
        <v>563800</v>
      </c>
    </row>
    <row r="938" spans="1:7">
      <c r="A938" s="486"/>
      <c r="C938" s="214" t="s">
        <v>572</v>
      </c>
      <c r="D938" s="289">
        <f>325804-4</f>
        <v>325800</v>
      </c>
      <c r="E938" s="289"/>
      <c r="F938" s="289"/>
      <c r="G938" s="289">
        <f>SUM(D938:F938)</f>
        <v>325800</v>
      </c>
    </row>
    <row r="939" spans="1:7">
      <c r="A939" s="486"/>
      <c r="C939" s="400" t="s">
        <v>573</v>
      </c>
      <c r="D939" s="401">
        <v>192000</v>
      </c>
      <c r="E939" s="401"/>
      <c r="F939" s="401"/>
      <c r="G939" s="401">
        <f>SUM(D939:F939)</f>
        <v>192000</v>
      </c>
    </row>
    <row r="940" spans="1:7">
      <c r="A940" s="486"/>
      <c r="C940" s="400" t="s">
        <v>574</v>
      </c>
      <c r="D940" s="401">
        <v>46000</v>
      </c>
      <c r="E940" s="401"/>
      <c r="F940" s="401"/>
      <c r="G940" s="401">
        <f>SUM(D940:F940)</f>
        <v>46000</v>
      </c>
    </row>
    <row r="941" spans="1:7">
      <c r="A941" s="486"/>
      <c r="C941" s="198"/>
      <c r="D941" s="210"/>
      <c r="E941" s="210"/>
      <c r="F941" s="210"/>
      <c r="G941" s="210">
        <f>SUM(D941:F941)</f>
        <v>0</v>
      </c>
    </row>
    <row r="942" spans="1:7">
      <c r="A942" s="486" t="s">
        <v>841</v>
      </c>
      <c r="B942" s="5" t="s">
        <v>880</v>
      </c>
      <c r="C942" s="216" t="s">
        <v>575</v>
      </c>
      <c r="D942" s="280">
        <f>SUM(D943:D944)</f>
        <v>156758</v>
      </c>
      <c r="E942" s="280"/>
      <c r="F942" s="280"/>
      <c r="G942" s="280">
        <f>SUM(D942:F942)</f>
        <v>156758</v>
      </c>
    </row>
    <row r="943" spans="1:7">
      <c r="A943" s="486"/>
      <c r="C943" s="214" t="s">
        <v>576</v>
      </c>
      <c r="D943" s="289">
        <v>154128</v>
      </c>
      <c r="E943" s="289"/>
      <c r="F943" s="289"/>
      <c r="G943" s="289">
        <f>SUM(D943:F943)</f>
        <v>154128</v>
      </c>
    </row>
    <row r="944" spans="1:7">
      <c r="A944" s="486"/>
      <c r="C944" s="402" t="s">
        <v>577</v>
      </c>
      <c r="D944" s="403">
        <v>2630</v>
      </c>
      <c r="E944" s="403"/>
      <c r="F944" s="403"/>
      <c r="G944" s="403">
        <f>SUM(D944:F944)</f>
        <v>2630</v>
      </c>
    </row>
    <row r="945" spans="1:7">
      <c r="A945" s="486"/>
      <c r="C945" s="186"/>
      <c r="D945" s="277"/>
      <c r="E945" s="277"/>
      <c r="F945" s="277"/>
      <c r="G945" s="277">
        <f>SUM(D945:F945)</f>
        <v>0</v>
      </c>
    </row>
    <row r="946" spans="1:7">
      <c r="A946" s="486" t="s">
        <v>841</v>
      </c>
      <c r="B946" s="5" t="s">
        <v>880</v>
      </c>
      <c r="C946" s="216" t="s">
        <v>578</v>
      </c>
      <c r="D946" s="280">
        <v>61000</v>
      </c>
      <c r="E946" s="280"/>
      <c r="F946" s="280"/>
      <c r="G946" s="280">
        <f>SUM(D946:F946)</f>
        <v>61000</v>
      </c>
    </row>
    <row r="947" spans="1:7">
      <c r="A947" s="486"/>
      <c r="C947" s="214" t="s">
        <v>956</v>
      </c>
      <c r="D947" s="288"/>
      <c r="E947" s="288"/>
      <c r="F947" s="288"/>
      <c r="G947" s="288">
        <f>SUM(D947:F947)</f>
        <v>0</v>
      </c>
    </row>
    <row r="948" spans="1:7">
      <c r="A948" s="486"/>
      <c r="C948" s="402" t="s">
        <v>802</v>
      </c>
      <c r="D948" s="403"/>
      <c r="E948" s="403"/>
      <c r="F948" s="403"/>
      <c r="G948" s="403">
        <f>SUM(D948:F948)</f>
        <v>0</v>
      </c>
    </row>
    <row r="949" spans="1:7">
      <c r="A949" s="486"/>
      <c r="C949" s="402" t="s">
        <v>579</v>
      </c>
      <c r="D949" s="403"/>
      <c r="E949" s="403"/>
      <c r="F949" s="403"/>
      <c r="G949" s="403">
        <f>SUM(D949:F949)</f>
        <v>0</v>
      </c>
    </row>
    <row r="950" spans="1:7">
      <c r="A950" s="486"/>
      <c r="C950" s="192"/>
      <c r="D950" s="289"/>
      <c r="E950" s="289"/>
      <c r="F950" s="289"/>
      <c r="G950" s="289">
        <f>SUM(D950:F950)</f>
        <v>0</v>
      </c>
    </row>
    <row r="951" spans="1:7" ht="24.95" customHeight="1">
      <c r="A951" s="486" t="s">
        <v>841</v>
      </c>
      <c r="B951" s="5" t="s">
        <v>880</v>
      </c>
      <c r="C951" s="227" t="s">
        <v>814</v>
      </c>
      <c r="D951" s="290">
        <v>25000</v>
      </c>
      <c r="E951" s="290"/>
      <c r="F951" s="290">
        <v>11386</v>
      </c>
      <c r="G951" s="290">
        <f>SUM(D951:F951)</f>
        <v>36386</v>
      </c>
    </row>
    <row r="952" spans="1:7">
      <c r="A952" s="486"/>
      <c r="C952" s="171" t="s">
        <v>121</v>
      </c>
      <c r="D952" s="281">
        <v>5000</v>
      </c>
      <c r="E952" s="281"/>
      <c r="F952" s="281"/>
      <c r="G952" s="281">
        <f>SUM(D952:F952)</f>
        <v>5000</v>
      </c>
    </row>
    <row r="953" spans="1:7">
      <c r="A953" s="486"/>
      <c r="C953" s="404"/>
      <c r="D953" s="315"/>
      <c r="E953" s="315"/>
      <c r="F953" s="315"/>
      <c r="G953" s="315">
        <f>SUM(D953:F953)</f>
        <v>0</v>
      </c>
    </row>
    <row r="954" spans="1:7">
      <c r="A954" s="486"/>
      <c r="C954" s="172" t="s">
        <v>464</v>
      </c>
      <c r="D954" s="287">
        <v>25000</v>
      </c>
      <c r="E954" s="287"/>
      <c r="F954" s="287">
        <v>11386</v>
      </c>
      <c r="G954" s="287">
        <f>SUM(D954:F954)</f>
        <v>36386</v>
      </c>
    </row>
    <row r="955" spans="1:7">
      <c r="A955" s="486"/>
      <c r="C955" s="172"/>
      <c r="D955" s="287"/>
      <c r="E955" s="287"/>
      <c r="F955" s="287"/>
      <c r="G955" s="287">
        <f>SUM(D955:F955)</f>
        <v>0</v>
      </c>
    </row>
    <row r="956" spans="1:7" ht="24.95" customHeight="1">
      <c r="A956" s="486" t="s">
        <v>841</v>
      </c>
      <c r="B956" s="5" t="s">
        <v>880</v>
      </c>
      <c r="C956" s="227" t="s">
        <v>815</v>
      </c>
      <c r="D956" s="290">
        <v>62500</v>
      </c>
      <c r="E956" s="290"/>
      <c r="F956" s="290"/>
      <c r="G956" s="290">
        <f>SUM(D956:F956)</f>
        <v>62500</v>
      </c>
    </row>
    <row r="957" spans="1:7">
      <c r="A957" s="486"/>
      <c r="C957" s="171" t="s">
        <v>121</v>
      </c>
      <c r="D957" s="281">
        <v>14948</v>
      </c>
      <c r="E957" s="281"/>
      <c r="F957" s="281"/>
      <c r="G957" s="281">
        <f>SUM(D957:F957)</f>
        <v>14948</v>
      </c>
    </row>
    <row r="958" spans="1:7">
      <c r="A958" s="486"/>
      <c r="C958" s="404"/>
      <c r="D958" s="315"/>
      <c r="E958" s="315"/>
      <c r="F958" s="315"/>
      <c r="G958" s="315">
        <f>SUM(D958:F958)</f>
        <v>0</v>
      </c>
    </row>
    <row r="959" spans="1:7">
      <c r="A959" s="486"/>
      <c r="C959" s="172" t="s">
        <v>464</v>
      </c>
      <c r="D959" s="287">
        <v>53125</v>
      </c>
      <c r="E959" s="287"/>
      <c r="F959" s="287"/>
      <c r="G959" s="287">
        <f>SUM(D959:F959)</f>
        <v>53125</v>
      </c>
    </row>
    <row r="960" spans="1:7">
      <c r="A960" s="486"/>
      <c r="C960" s="405"/>
      <c r="D960" s="406"/>
      <c r="E960" s="406"/>
      <c r="F960" s="406"/>
      <c r="G960" s="406">
        <f>SUM(D960:F960)</f>
        <v>0</v>
      </c>
    </row>
    <row r="961" spans="1:7">
      <c r="A961" s="486" t="s">
        <v>841</v>
      </c>
      <c r="B961" s="5" t="s">
        <v>880</v>
      </c>
      <c r="C961" s="227" t="s">
        <v>803</v>
      </c>
      <c r="D961" s="290">
        <v>4200</v>
      </c>
      <c r="E961" s="290"/>
      <c r="F961" s="290"/>
      <c r="G961" s="290">
        <f>SUM(D961:F961)</f>
        <v>4200</v>
      </c>
    </row>
    <row r="962" spans="1:7">
      <c r="A962" s="486"/>
      <c r="C962" s="405"/>
      <c r="D962" s="406"/>
      <c r="E962" s="406"/>
      <c r="F962" s="406"/>
      <c r="G962" s="406">
        <f>SUM(D962:F962)</f>
        <v>0</v>
      </c>
    </row>
    <row r="963" spans="1:7">
      <c r="A963" s="486"/>
      <c r="C963" s="172" t="s">
        <v>464</v>
      </c>
      <c r="D963" s="287">
        <v>4200</v>
      </c>
      <c r="E963" s="287"/>
      <c r="F963" s="287"/>
      <c r="G963" s="287">
        <f>SUM(D963:F963)</f>
        <v>4200</v>
      </c>
    </row>
    <row r="964" spans="1:7">
      <c r="A964" s="486"/>
      <c r="C964" s="405"/>
      <c r="D964" s="406"/>
      <c r="E964" s="406"/>
      <c r="F964" s="406"/>
      <c r="G964" s="406">
        <f>SUM(D964:F964)</f>
        <v>0</v>
      </c>
    </row>
    <row r="965" spans="1:7" ht="24.95" customHeight="1">
      <c r="A965" s="486" t="s">
        <v>841</v>
      </c>
      <c r="B965" s="5" t="s">
        <v>880</v>
      </c>
      <c r="C965" s="227" t="s">
        <v>828</v>
      </c>
      <c r="D965" s="290">
        <v>8911</v>
      </c>
      <c r="E965" s="290"/>
      <c r="F965" s="290"/>
      <c r="G965" s="290">
        <f>SUM(D965:F965)</f>
        <v>8911</v>
      </c>
    </row>
    <row r="966" spans="1:7">
      <c r="A966" s="486"/>
      <c r="C966" s="171" t="s">
        <v>121</v>
      </c>
      <c r="D966" s="281">
        <v>5600</v>
      </c>
      <c r="E966" s="281"/>
      <c r="F966" s="281"/>
      <c r="G966" s="281">
        <f>SUM(D966:F966)</f>
        <v>5600</v>
      </c>
    </row>
    <row r="967" spans="1:7">
      <c r="A967" s="486"/>
      <c r="C967" s="404"/>
      <c r="D967" s="315"/>
      <c r="E967" s="315"/>
      <c r="F967" s="315"/>
      <c r="G967" s="315">
        <f>SUM(D967:F967)</f>
        <v>0</v>
      </c>
    </row>
    <row r="968" spans="1:7">
      <c r="A968" s="486"/>
      <c r="C968" s="172" t="s">
        <v>464</v>
      </c>
      <c r="D968" s="287">
        <v>7574</v>
      </c>
      <c r="E968" s="287"/>
      <c r="F968" s="287"/>
      <c r="G968" s="287">
        <f>SUM(D968:F968)</f>
        <v>7574</v>
      </c>
    </row>
    <row r="969" spans="1:7">
      <c r="A969" s="486"/>
      <c r="C969" s="407"/>
      <c r="D969" s="401"/>
      <c r="E969" s="401"/>
      <c r="F969" s="401"/>
      <c r="G969" s="401">
        <f>SUM(D969:F969)</f>
        <v>0</v>
      </c>
    </row>
    <row r="970" spans="1:7" ht="25.5">
      <c r="A970" s="486" t="s">
        <v>841</v>
      </c>
      <c r="B970" s="5" t="s">
        <v>880</v>
      </c>
      <c r="C970" s="227" t="s">
        <v>816</v>
      </c>
      <c r="D970" s="290">
        <v>50500</v>
      </c>
      <c r="E970" s="290"/>
      <c r="F970" s="290"/>
      <c r="G970" s="290">
        <f>SUM(D970:F970)</f>
        <v>50500</v>
      </c>
    </row>
    <row r="971" spans="1:7">
      <c r="A971" s="486"/>
      <c r="C971" s="171" t="s">
        <v>121</v>
      </c>
      <c r="D971" s="281">
        <v>4484</v>
      </c>
      <c r="E971" s="281"/>
      <c r="F971" s="281"/>
      <c r="G971" s="281">
        <f>SUM(D971:F971)</f>
        <v>4484</v>
      </c>
    </row>
    <row r="972" spans="1:7">
      <c r="A972" s="486"/>
      <c r="C972" s="404"/>
      <c r="D972" s="315"/>
      <c r="E972" s="315"/>
      <c r="F972" s="315"/>
      <c r="G972" s="315">
        <f>SUM(D972:F972)</f>
        <v>0</v>
      </c>
    </row>
    <row r="973" spans="1:7">
      <c r="A973" s="486"/>
      <c r="C973" s="172" t="s">
        <v>464</v>
      </c>
      <c r="D973" s="287">
        <v>42925</v>
      </c>
      <c r="E973" s="287"/>
      <c r="F973" s="287"/>
      <c r="G973" s="287">
        <f>SUM(D973:F973)</f>
        <v>42925</v>
      </c>
    </row>
    <row r="974" spans="1:7">
      <c r="A974" s="486"/>
      <c r="C974" s="407"/>
      <c r="D974" s="401"/>
      <c r="E974" s="401"/>
      <c r="F974" s="401"/>
      <c r="G974" s="401">
        <f>SUM(D974:F974)</f>
        <v>0</v>
      </c>
    </row>
    <row r="975" spans="1:7" ht="24.95" customHeight="1">
      <c r="A975" s="486" t="s">
        <v>841</v>
      </c>
      <c r="B975" s="5" t="s">
        <v>880</v>
      </c>
      <c r="C975" s="227" t="s">
        <v>817</v>
      </c>
      <c r="D975" s="290">
        <v>100000</v>
      </c>
      <c r="E975" s="290"/>
      <c r="F975" s="290"/>
      <c r="G975" s="290">
        <f>SUM(D975:F975)</f>
        <v>100000</v>
      </c>
    </row>
    <row r="976" spans="1:7">
      <c r="A976" s="486"/>
      <c r="C976" s="171" t="s">
        <v>121</v>
      </c>
      <c r="D976" s="281">
        <v>37369</v>
      </c>
      <c r="E976" s="281"/>
      <c r="F976" s="281"/>
      <c r="G976" s="281">
        <f>SUM(D976:F976)</f>
        <v>37369</v>
      </c>
    </row>
    <row r="977" spans="1:7">
      <c r="A977" s="486"/>
      <c r="C977" s="171"/>
      <c r="D977" s="315"/>
      <c r="E977" s="315"/>
      <c r="F977" s="315"/>
      <c r="G977" s="315">
        <f>SUM(D977:F977)</f>
        <v>0</v>
      </c>
    </row>
    <row r="978" spans="1:7">
      <c r="A978" s="486"/>
      <c r="C978" s="172" t="s">
        <v>464</v>
      </c>
      <c r="D978" s="287">
        <v>85000</v>
      </c>
      <c r="E978" s="287"/>
      <c r="F978" s="287"/>
      <c r="G978" s="287">
        <f>SUM(D978:F978)</f>
        <v>85000</v>
      </c>
    </row>
    <row r="979" spans="1:7">
      <c r="A979" s="486"/>
      <c r="C979" s="172"/>
      <c r="D979" s="287"/>
      <c r="E979" s="287"/>
      <c r="F979" s="287"/>
      <c r="G979" s="287">
        <f>SUM(D979:F979)</f>
        <v>0</v>
      </c>
    </row>
    <row r="980" spans="1:7" ht="24.95" customHeight="1">
      <c r="A980" s="486" t="s">
        <v>841</v>
      </c>
      <c r="B980" s="5" t="s">
        <v>880</v>
      </c>
      <c r="C980" s="227" t="s">
        <v>818</v>
      </c>
      <c r="D980" s="290">
        <v>440000</v>
      </c>
      <c r="E980" s="290"/>
      <c r="F980" s="290"/>
      <c r="G980" s="290">
        <f>SUM(D980:F980)</f>
        <v>440000</v>
      </c>
    </row>
    <row r="981" spans="1:7">
      <c r="A981" s="486"/>
      <c r="C981" s="171" t="s">
        <v>121</v>
      </c>
      <c r="D981" s="287">
        <v>36000</v>
      </c>
      <c r="E981" s="287"/>
      <c r="F981" s="287"/>
      <c r="G981" s="287">
        <f>SUM(D981:F981)</f>
        <v>36000</v>
      </c>
    </row>
    <row r="982" spans="1:7">
      <c r="A982" s="486"/>
      <c r="C982" s="404"/>
      <c r="D982" s="287"/>
      <c r="E982" s="287"/>
      <c r="F982" s="287"/>
      <c r="G982" s="287">
        <f>SUM(D982:F982)</f>
        <v>0</v>
      </c>
    </row>
    <row r="983" spans="1:7">
      <c r="A983" s="486"/>
      <c r="C983" s="172" t="s">
        <v>464</v>
      </c>
      <c r="D983" s="287">
        <v>374000</v>
      </c>
      <c r="E983" s="287"/>
      <c r="F983" s="287"/>
      <c r="G983" s="287">
        <f>SUM(D983:F983)</f>
        <v>374000</v>
      </c>
    </row>
    <row r="984" spans="1:7">
      <c r="A984" s="486"/>
      <c r="C984" s="172"/>
      <c r="D984" s="287"/>
      <c r="E984" s="287"/>
      <c r="F984" s="287"/>
      <c r="G984" s="287">
        <f>SUM(D984:F984)</f>
        <v>0</v>
      </c>
    </row>
    <row r="985" spans="1:7" ht="24.95" customHeight="1">
      <c r="A985" s="486" t="s">
        <v>841</v>
      </c>
      <c r="B985" s="5" t="s">
        <v>880</v>
      </c>
      <c r="C985" s="227" t="s">
        <v>804</v>
      </c>
      <c r="D985" s="290">
        <v>90725</v>
      </c>
      <c r="E985" s="290"/>
      <c r="F985" s="290">
        <v>0</v>
      </c>
      <c r="G985" s="290">
        <f>SUM(D985:F985)</f>
        <v>90725</v>
      </c>
    </row>
    <row r="986" spans="1:7">
      <c r="A986" s="486"/>
      <c r="C986" s="171" t="s">
        <v>121</v>
      </c>
      <c r="D986" s="287">
        <v>33000</v>
      </c>
      <c r="E986" s="287"/>
      <c r="F986" s="287"/>
      <c r="G986" s="287">
        <f>SUM(D986:F986)</f>
        <v>33000</v>
      </c>
    </row>
    <row r="987" spans="1:7">
      <c r="A987" s="486"/>
      <c r="C987" s="404"/>
      <c r="D987" s="287"/>
      <c r="E987" s="287"/>
      <c r="F987" s="287"/>
      <c r="G987" s="287">
        <f>SUM(D987:F987)</f>
        <v>0</v>
      </c>
    </row>
    <row r="988" spans="1:7">
      <c r="A988" s="486"/>
      <c r="C988" s="172" t="s">
        <v>464</v>
      </c>
      <c r="D988" s="287">
        <v>81175</v>
      </c>
      <c r="E988" s="287"/>
      <c r="F988" s="287">
        <v>-4059</v>
      </c>
      <c r="G988" s="287">
        <f>SUM(D988:F988)</f>
        <v>77116</v>
      </c>
    </row>
    <row r="989" spans="1:7">
      <c r="A989" s="486"/>
      <c r="C989" s="172"/>
      <c r="D989" s="287"/>
      <c r="E989" s="287"/>
      <c r="F989" s="287"/>
      <c r="G989" s="287">
        <f>SUM(D989:F989)</f>
        <v>0</v>
      </c>
    </row>
    <row r="990" spans="1:7" ht="24.95" customHeight="1">
      <c r="A990" s="486" t="s">
        <v>841</v>
      </c>
      <c r="B990" s="5" t="s">
        <v>880</v>
      </c>
      <c r="C990" s="227" t="s">
        <v>819</v>
      </c>
      <c r="D990" s="290">
        <v>140000</v>
      </c>
      <c r="E990" s="290"/>
      <c r="F990" s="290"/>
      <c r="G990" s="290">
        <f>SUM(D990:F990)</f>
        <v>140000</v>
      </c>
    </row>
    <row r="991" spans="1:7">
      <c r="A991" s="486"/>
      <c r="C991" s="171" t="s">
        <v>121</v>
      </c>
      <c r="D991" s="287">
        <v>20000</v>
      </c>
      <c r="E991" s="287"/>
      <c r="F991" s="287"/>
      <c r="G991" s="287">
        <f>SUM(D991:F991)</f>
        <v>20000</v>
      </c>
    </row>
    <row r="992" spans="1:7">
      <c r="A992" s="486"/>
      <c r="C992" s="404"/>
      <c r="D992" s="287"/>
      <c r="E992" s="287"/>
      <c r="F992" s="287"/>
      <c r="G992" s="287">
        <f>SUM(D992:F992)</f>
        <v>0</v>
      </c>
    </row>
    <row r="993" spans="1:7">
      <c r="A993" s="486"/>
      <c r="C993" s="172" t="s">
        <v>464</v>
      </c>
      <c r="D993" s="287">
        <v>119000</v>
      </c>
      <c r="E993" s="287"/>
      <c r="F993" s="287"/>
      <c r="G993" s="287">
        <f>SUM(D993:F993)</f>
        <v>119000</v>
      </c>
    </row>
    <row r="994" spans="1:7">
      <c r="A994" s="486"/>
      <c r="C994" s="172"/>
      <c r="D994" s="287"/>
      <c r="E994" s="287"/>
      <c r="F994" s="287"/>
      <c r="G994" s="287">
        <f>SUM(D994:F994)</f>
        <v>0</v>
      </c>
    </row>
    <row r="995" spans="1:7" ht="25.5">
      <c r="A995" s="486" t="s">
        <v>841</v>
      </c>
      <c r="B995" s="5" t="s">
        <v>880</v>
      </c>
      <c r="C995" s="227" t="s">
        <v>1018</v>
      </c>
      <c r="D995" s="287"/>
      <c r="E995" s="287"/>
      <c r="F995" s="605">
        <v>7280</v>
      </c>
      <c r="G995" s="287">
        <f>SUM(D995:F995)</f>
        <v>7280</v>
      </c>
    </row>
    <row r="996" spans="1:7">
      <c r="A996" s="486"/>
      <c r="C996" s="404"/>
      <c r="D996" s="287"/>
      <c r="E996" s="287"/>
      <c r="F996" s="543"/>
      <c r="G996" s="287">
        <f>SUM(D996:F996)</f>
        <v>0</v>
      </c>
    </row>
    <row r="997" spans="1:7">
      <c r="A997" s="486"/>
      <c r="C997" s="172" t="s">
        <v>464</v>
      </c>
      <c r="D997" s="287"/>
      <c r="E997" s="287"/>
      <c r="F997" s="544">
        <v>4300</v>
      </c>
      <c r="G997" s="287">
        <f>SUM(D997:F997)</f>
        <v>4300</v>
      </c>
    </row>
    <row r="998" spans="1:7">
      <c r="A998" s="486"/>
      <c r="C998" s="171"/>
      <c r="D998" s="287"/>
      <c r="E998" s="287"/>
      <c r="F998" s="542"/>
      <c r="G998" s="287">
        <f>SUM(D998:F998)</f>
        <v>0</v>
      </c>
    </row>
    <row r="999" spans="1:7" ht="25.5">
      <c r="A999" s="486" t="s">
        <v>841</v>
      </c>
      <c r="B999" s="5" t="s">
        <v>880</v>
      </c>
      <c r="C999" s="227" t="s">
        <v>1019</v>
      </c>
      <c r="D999" s="287"/>
      <c r="E999" s="287"/>
      <c r="F999" s="541">
        <v>10000</v>
      </c>
      <c r="G999" s="287">
        <f>SUM(D999:F999)</f>
        <v>10000</v>
      </c>
    </row>
    <row r="1000" spans="1:7">
      <c r="A1000" s="486"/>
      <c r="C1000" s="171" t="s">
        <v>121</v>
      </c>
      <c r="D1000" s="287"/>
      <c r="E1000" s="287"/>
      <c r="F1000" s="542">
        <v>2000</v>
      </c>
      <c r="G1000" s="287">
        <f>SUM(D1000:F1000)</f>
        <v>2000</v>
      </c>
    </row>
    <row r="1001" spans="1:7">
      <c r="A1001" s="486"/>
      <c r="C1001" s="404"/>
      <c r="D1001" s="287"/>
      <c r="E1001" s="287"/>
      <c r="F1001" s="543"/>
      <c r="G1001" s="287">
        <f>SUM(D1001:F1001)</f>
        <v>0</v>
      </c>
    </row>
    <row r="1002" spans="1:7">
      <c r="A1002" s="486"/>
      <c r="C1002" s="172" t="s">
        <v>464</v>
      </c>
      <c r="D1002" s="287"/>
      <c r="E1002" s="287"/>
      <c r="F1002" s="544">
        <v>10000</v>
      </c>
      <c r="G1002" s="287">
        <f>SUM(D1002:F1002)</f>
        <v>10000</v>
      </c>
    </row>
    <row r="1003" spans="1:7">
      <c r="A1003" s="486"/>
      <c r="C1003" s="171"/>
      <c r="D1003" s="287"/>
      <c r="E1003" s="287"/>
      <c r="F1003" s="287"/>
      <c r="G1003" s="287">
        <f>SUM(D1003:F1003)</f>
        <v>0</v>
      </c>
    </row>
    <row r="1004" spans="1:7">
      <c r="A1004" s="486" t="s">
        <v>841</v>
      </c>
      <c r="B1004" s="5" t="s">
        <v>880</v>
      </c>
      <c r="C1004" s="216" t="s">
        <v>811</v>
      </c>
      <c r="D1004" s="280">
        <v>46900</v>
      </c>
      <c r="E1004" s="280"/>
      <c r="F1004" s="280"/>
      <c r="G1004" s="280">
        <f>SUM(D1004:F1004)</f>
        <v>46900</v>
      </c>
    </row>
    <row r="1005" spans="1:7">
      <c r="A1005" s="486"/>
      <c r="C1005" s="216"/>
      <c r="D1005" s="280"/>
      <c r="E1005" s="280"/>
      <c r="F1005" s="280"/>
      <c r="G1005" s="280">
        <f>SUM(D1005:F1005)</f>
        <v>0</v>
      </c>
    </row>
    <row r="1006" spans="1:7">
      <c r="A1006" s="486" t="s">
        <v>841</v>
      </c>
      <c r="B1006" s="5" t="s">
        <v>880</v>
      </c>
      <c r="C1006" s="216" t="s">
        <v>812</v>
      </c>
      <c r="D1006" s="280">
        <v>20500</v>
      </c>
      <c r="E1006" s="280"/>
      <c r="F1006" s="280"/>
      <c r="G1006" s="280">
        <f>SUM(D1006:F1006)</f>
        <v>20500</v>
      </c>
    </row>
    <row r="1007" spans="1:7">
      <c r="A1007" s="486"/>
      <c r="C1007" s="143"/>
      <c r="D1007" s="318"/>
      <c r="E1007" s="318"/>
      <c r="F1007" s="318"/>
      <c r="G1007" s="318">
        <f>SUM(D1007:F1007)</f>
        <v>0</v>
      </c>
    </row>
    <row r="1008" spans="1:7">
      <c r="A1008" s="486"/>
      <c r="C1008" s="143"/>
      <c r="D1008" s="318"/>
      <c r="E1008" s="318"/>
      <c r="F1008" s="318"/>
      <c r="G1008" s="318">
        <f>SUM(D1008:F1008)</f>
        <v>0</v>
      </c>
    </row>
    <row r="1009" spans="1:26" ht="15.75">
      <c r="A1009" s="486"/>
      <c r="C1009" s="184" t="s">
        <v>348</v>
      </c>
      <c r="D1009" s="276"/>
      <c r="E1009" s="276"/>
      <c r="F1009" s="276"/>
      <c r="G1009" s="276">
        <f>SUM(D1009:F1009)</f>
        <v>0</v>
      </c>
    </row>
    <row r="1010" spans="1:26">
      <c r="A1010" s="486"/>
      <c r="C1010" s="186"/>
      <c r="D1010" s="277"/>
      <c r="E1010" s="277"/>
      <c r="F1010" s="277"/>
      <c r="G1010" s="277">
        <f>SUM(D1010:F1010)</f>
        <v>0</v>
      </c>
    </row>
    <row r="1011" spans="1:26">
      <c r="A1011" s="486"/>
      <c r="C1011" s="186" t="s">
        <v>240</v>
      </c>
      <c r="D1011" s="277">
        <f>SUM(D1021,D1041,D1049)</f>
        <v>39423113</v>
      </c>
      <c r="E1011" s="277">
        <f t="shared" ref="E1011" si="42">SUM(E1021,E1041,E1049)</f>
        <v>65823</v>
      </c>
      <c r="F1011" s="277">
        <f>SUM(F1021,F1041,F1049)</f>
        <v>3139128</v>
      </c>
      <c r="G1011" s="277">
        <f>SUM(D1011:F1011)</f>
        <v>42628064</v>
      </c>
    </row>
    <row r="1012" spans="1:26">
      <c r="A1012" s="486"/>
      <c r="C1012" s="187" t="s">
        <v>825</v>
      </c>
      <c r="D1012" s="278">
        <v>17602672</v>
      </c>
      <c r="E1012" s="278"/>
      <c r="F1012" s="278"/>
      <c r="G1012" s="278">
        <f>SUM(D1012:F1012)</f>
        <v>17602672</v>
      </c>
    </row>
    <row r="1013" spans="1:26">
      <c r="A1013" s="486"/>
      <c r="C1013" s="197" t="s">
        <v>118</v>
      </c>
      <c r="D1013" s="279">
        <f>SUM(D1014:D1018)</f>
        <v>39423113</v>
      </c>
      <c r="E1013" s="279">
        <f t="shared" ref="E1013" si="43">SUM(E1014:E1018)</f>
        <v>65823</v>
      </c>
      <c r="F1013" s="279">
        <f>SUM(F1014:F1018)</f>
        <v>3139128</v>
      </c>
      <c r="G1013" s="279">
        <f>SUM(D1013:F1013)</f>
        <v>42628064</v>
      </c>
    </row>
    <row r="1014" spans="1:26">
      <c r="A1014" s="486"/>
      <c r="C1014" s="189" t="s">
        <v>119</v>
      </c>
      <c r="D1014" s="278">
        <f>'[3]2.2 OMATULUD'!B420</f>
        <v>721881</v>
      </c>
      <c r="E1014" s="278"/>
      <c r="F1014" s="278">
        <v>159900</v>
      </c>
      <c r="G1014" s="278">
        <f>SUM(D1014:F1014)</f>
        <v>881781</v>
      </c>
    </row>
    <row r="1015" spans="1:26">
      <c r="A1015" s="486"/>
      <c r="C1015" s="173" t="s">
        <v>106</v>
      </c>
      <c r="D1015" s="278"/>
      <c r="E1015" s="278"/>
      <c r="F1015" s="278">
        <f>SUM(F1087)</f>
        <v>18650</v>
      </c>
      <c r="G1015" s="278">
        <f>SUM(D1015:F1015)</f>
        <v>18650</v>
      </c>
    </row>
    <row r="1016" spans="1:26">
      <c r="A1016" s="486"/>
      <c r="C1016" s="173" t="s">
        <v>972</v>
      </c>
      <c r="D1016" s="278"/>
      <c r="E1016" s="278"/>
      <c r="F1016" s="278">
        <f>SUM(F1088)</f>
        <v>490</v>
      </c>
      <c r="G1016" s="278">
        <f>SUM(D1016:F1016)</f>
        <v>490</v>
      </c>
    </row>
    <row r="1017" spans="1:26">
      <c r="A1017" s="486"/>
      <c r="C1017" s="173" t="s">
        <v>0</v>
      </c>
      <c r="D1017" s="278"/>
      <c r="E1017" s="278"/>
      <c r="F1017" s="278"/>
      <c r="G1017" s="278">
        <f>SUM(D1017:F1017)</f>
        <v>0</v>
      </c>
    </row>
    <row r="1018" spans="1:26">
      <c r="A1018" s="486"/>
      <c r="C1018" s="173" t="s">
        <v>120</v>
      </c>
      <c r="D1018" s="278">
        <f>D1011-D1014</f>
        <v>38701232</v>
      </c>
      <c r="E1018" s="278">
        <f t="shared" ref="E1018" si="44">E1011-E1014</f>
        <v>65823</v>
      </c>
      <c r="F1018" s="278">
        <f>F1011-F1014-F1015-F1016-F1017</f>
        <v>2960088</v>
      </c>
      <c r="G1018" s="278">
        <f>SUM(D1018:F1018)</f>
        <v>41727143</v>
      </c>
    </row>
    <row r="1019" spans="1:26" s="493" customFormat="1">
      <c r="C1019" s="603" t="s">
        <v>884</v>
      </c>
      <c r="D1019" s="494">
        <f>D1023+D1043+D1052+D1071</f>
        <v>1794373</v>
      </c>
      <c r="E1019" s="494">
        <f t="shared" ref="E1019" si="45">E1023+E1043+E1052+E1071</f>
        <v>49195</v>
      </c>
      <c r="F1019" s="494">
        <f>F1023+F1043+F1052+F1071+F1085</f>
        <v>70784</v>
      </c>
      <c r="G1019" s="494">
        <f>SUM(D1019:F1019)</f>
        <v>1914352</v>
      </c>
      <c r="H1019" s="495"/>
      <c r="I1019" s="495"/>
      <c r="J1019" s="495"/>
      <c r="K1019" s="495"/>
      <c r="L1019" s="495"/>
      <c r="M1019" s="604"/>
      <c r="O1019" s="495"/>
      <c r="P1019" s="495"/>
      <c r="Q1019" s="495"/>
      <c r="R1019" s="604"/>
      <c r="T1019" s="495"/>
      <c r="U1019" s="495"/>
      <c r="V1019" s="495"/>
      <c r="W1019" s="604"/>
      <c r="Z1019" s="103"/>
    </row>
    <row r="1020" spans="1:26">
      <c r="A1020" s="486"/>
      <c r="C1020" s="261"/>
      <c r="D1020" s="278"/>
      <c r="E1020" s="278"/>
      <c r="F1020" s="278"/>
      <c r="G1020" s="278">
        <f>SUM(D1020:F1020)</f>
        <v>0</v>
      </c>
    </row>
    <row r="1021" spans="1:26" ht="15">
      <c r="A1021" s="486" t="s">
        <v>672</v>
      </c>
      <c r="B1021" s="5" t="s">
        <v>881</v>
      </c>
      <c r="C1021" s="185" t="s">
        <v>580</v>
      </c>
      <c r="D1021" s="297">
        <f>SUM(D1022,D1036)</f>
        <v>29844675</v>
      </c>
      <c r="E1021" s="297"/>
      <c r="F1021" s="297">
        <f>SUM(F1022,F1036)</f>
        <v>2964543</v>
      </c>
      <c r="G1021" s="297">
        <f>SUM(D1021:F1021)</f>
        <v>32809218</v>
      </c>
    </row>
    <row r="1022" spans="1:26">
      <c r="A1022" s="486"/>
      <c r="C1022" s="181" t="s">
        <v>581</v>
      </c>
      <c r="D1022" s="291">
        <f>SUM(D1025,D1029,D1034)</f>
        <v>22914675</v>
      </c>
      <c r="E1022" s="291"/>
      <c r="F1022" s="291">
        <f>SUM(F1025,F1029,F1034)</f>
        <v>2429543</v>
      </c>
      <c r="G1022" s="291">
        <f>SUM(D1022:F1022)</f>
        <v>25344218</v>
      </c>
    </row>
    <row r="1023" spans="1:26">
      <c r="A1023" s="486"/>
      <c r="C1023" s="182" t="s">
        <v>121</v>
      </c>
      <c r="D1023" s="281">
        <f>SUM(D1030)</f>
        <v>115873</v>
      </c>
      <c r="E1023" s="281"/>
      <c r="F1023" s="281">
        <f>SUM(F1030)</f>
        <v>0</v>
      </c>
      <c r="G1023" s="281">
        <f>SUM(D1023:F1023)</f>
        <v>115873</v>
      </c>
    </row>
    <row r="1024" spans="1:26">
      <c r="A1024" s="486"/>
      <c r="C1024" s="195" t="s">
        <v>243</v>
      </c>
      <c r="D1024" s="291"/>
      <c r="E1024" s="291"/>
      <c r="F1024" s="291"/>
      <c r="G1024" s="291">
        <f>SUM(D1024:F1024)</f>
        <v>0</v>
      </c>
    </row>
    <row r="1025" spans="1:7">
      <c r="A1025" s="486"/>
      <c r="C1025" s="196" t="s">
        <v>582</v>
      </c>
      <c r="D1025" s="302">
        <v>8518330</v>
      </c>
      <c r="E1025" s="302"/>
      <c r="F1025" s="302">
        <v>2361623</v>
      </c>
      <c r="G1025" s="302">
        <f>SUM(D1025:F1025)</f>
        <v>10879953</v>
      </c>
    </row>
    <row r="1026" spans="1:7">
      <c r="A1026" s="486"/>
      <c r="C1026" s="263"/>
      <c r="D1026" s="302"/>
      <c r="E1026" s="302"/>
      <c r="F1026" s="302"/>
      <c r="G1026" s="302">
        <f>SUM(D1026:F1026)</f>
        <v>0</v>
      </c>
    </row>
    <row r="1027" spans="1:7">
      <c r="A1027" s="486"/>
      <c r="C1027" s="201"/>
      <c r="D1027" s="302"/>
      <c r="E1027" s="302"/>
      <c r="F1027" s="302"/>
      <c r="G1027" s="302">
        <f>SUM(D1027:F1027)</f>
        <v>0</v>
      </c>
    </row>
    <row r="1028" spans="1:7">
      <c r="A1028" s="486"/>
      <c r="C1028" s="195" t="s">
        <v>243</v>
      </c>
      <c r="D1028" s="291"/>
      <c r="E1028" s="291"/>
      <c r="F1028" s="291"/>
      <c r="G1028" s="291">
        <f>SUM(D1028:F1028)</f>
        <v>0</v>
      </c>
    </row>
    <row r="1029" spans="1:7">
      <c r="A1029" s="486"/>
      <c r="C1029" s="196" t="s">
        <v>583</v>
      </c>
      <c r="D1029" s="302">
        <v>14294345</v>
      </c>
      <c r="E1029" s="302"/>
      <c r="F1029" s="302">
        <v>67920</v>
      </c>
      <c r="G1029" s="302">
        <f>SUM(D1029:F1029)</f>
        <v>14362265</v>
      </c>
    </row>
    <row r="1030" spans="1:7">
      <c r="A1030" s="486"/>
      <c r="C1030" s="191" t="s">
        <v>121</v>
      </c>
      <c r="D1030" s="281">
        <v>115873</v>
      </c>
      <c r="E1030" s="281"/>
      <c r="F1030" s="281"/>
      <c r="G1030" s="281">
        <f>SUM(D1030:F1030)</f>
        <v>115873</v>
      </c>
    </row>
    <row r="1031" spans="1:7">
      <c r="A1031" s="486"/>
      <c r="C1031" s="263"/>
      <c r="D1031" s="302"/>
      <c r="E1031" s="302"/>
      <c r="F1031" s="302"/>
      <c r="G1031" s="302">
        <f>SUM(D1031:F1031)</f>
        <v>0</v>
      </c>
    </row>
    <row r="1032" spans="1:7">
      <c r="A1032" s="486"/>
      <c r="C1032" s="382"/>
      <c r="D1032" s="300"/>
      <c r="E1032" s="300"/>
      <c r="F1032" s="300"/>
      <c r="G1032" s="300">
        <f>SUM(D1032:F1032)</f>
        <v>0</v>
      </c>
    </row>
    <row r="1033" spans="1:7">
      <c r="A1033" s="486"/>
      <c r="C1033" s="195" t="s">
        <v>347</v>
      </c>
      <c r="D1033" s="291"/>
      <c r="E1033" s="291"/>
      <c r="F1033" s="291"/>
      <c r="G1033" s="291">
        <f>SUM(D1033:F1033)</f>
        <v>0</v>
      </c>
    </row>
    <row r="1034" spans="1:7">
      <c r="A1034" s="486"/>
      <c r="C1034" s="196" t="s">
        <v>584</v>
      </c>
      <c r="D1034" s="302">
        <v>102000</v>
      </c>
      <c r="E1034" s="302"/>
      <c r="F1034" s="302"/>
      <c r="G1034" s="302">
        <f>SUM(D1034:F1034)</f>
        <v>102000</v>
      </c>
    </row>
    <row r="1035" spans="1:7">
      <c r="A1035" s="486"/>
      <c r="C1035" s="227"/>
      <c r="D1035" s="290"/>
      <c r="E1035" s="290"/>
      <c r="F1035" s="290"/>
      <c r="G1035" s="290">
        <f>SUM(D1035:F1035)</f>
        <v>0</v>
      </c>
    </row>
    <row r="1036" spans="1:7">
      <c r="A1036" s="486"/>
      <c r="C1036" s="181" t="s">
        <v>585</v>
      </c>
      <c r="D1036" s="291">
        <f>6820000+110000</f>
        <v>6930000</v>
      </c>
      <c r="E1036" s="291"/>
      <c r="F1036" s="291">
        <v>535000</v>
      </c>
      <c r="G1036" s="291">
        <f>SUM(D1036:F1036)</f>
        <v>7465000</v>
      </c>
    </row>
    <row r="1037" spans="1:7">
      <c r="A1037" s="486"/>
      <c r="C1037" s="263"/>
      <c r="D1037" s="302"/>
      <c r="E1037" s="302"/>
      <c r="F1037" s="302"/>
      <c r="G1037" s="302">
        <f>SUM(D1037:F1037)</f>
        <v>0</v>
      </c>
    </row>
    <row r="1038" spans="1:7">
      <c r="A1038" s="486"/>
      <c r="C1038" s="255"/>
      <c r="D1038" s="305"/>
      <c r="E1038" s="305"/>
      <c r="F1038" s="305"/>
      <c r="G1038" s="305">
        <f>SUM(D1038:F1038)</f>
        <v>0</v>
      </c>
    </row>
    <row r="1039" spans="1:7" ht="12.6" customHeight="1">
      <c r="A1039" s="486"/>
      <c r="C1039" s="382" t="s">
        <v>586</v>
      </c>
      <c r="D1039" s="300"/>
      <c r="E1039" s="300"/>
      <c r="F1039" s="300"/>
      <c r="G1039" s="300">
        <f>SUM(D1039:F1039)</f>
        <v>0</v>
      </c>
    </row>
    <row r="1040" spans="1:7">
      <c r="A1040" s="486"/>
      <c r="C1040" s="382"/>
      <c r="D1040" s="300"/>
      <c r="E1040" s="300"/>
      <c r="F1040" s="300"/>
      <c r="G1040" s="300">
        <f>SUM(D1040:F1040)</f>
        <v>0</v>
      </c>
    </row>
    <row r="1041" spans="1:7" ht="15">
      <c r="A1041" s="486" t="s">
        <v>674</v>
      </c>
      <c r="B1041" s="5" t="s">
        <v>881</v>
      </c>
      <c r="C1041" s="185" t="s">
        <v>349</v>
      </c>
      <c r="D1041" s="297">
        <f>SUM(D1042)</f>
        <v>1122758</v>
      </c>
      <c r="E1041" s="297"/>
      <c r="F1041" s="297">
        <f>SUM(F1042)</f>
        <v>133200</v>
      </c>
      <c r="G1041" s="297">
        <f>SUM(D1041:F1041)</f>
        <v>1255958</v>
      </c>
    </row>
    <row r="1042" spans="1:7">
      <c r="A1042" s="486"/>
      <c r="C1042" s="181" t="s">
        <v>350</v>
      </c>
      <c r="D1042" s="291">
        <f>D1045</f>
        <v>1122758</v>
      </c>
      <c r="E1042" s="291"/>
      <c r="F1042" s="291">
        <f>F1045</f>
        <v>133200</v>
      </c>
      <c r="G1042" s="291">
        <f>SUM(D1042:F1042)</f>
        <v>1255958</v>
      </c>
    </row>
    <row r="1043" spans="1:7">
      <c r="A1043" s="486"/>
      <c r="C1043" s="182" t="s">
        <v>121</v>
      </c>
      <c r="D1043" s="281">
        <f>D1046</f>
        <v>431005</v>
      </c>
      <c r="E1043" s="281"/>
      <c r="F1043" s="281">
        <f>F1046</f>
        <v>62091</v>
      </c>
      <c r="G1043" s="281">
        <f>SUM(D1043:F1043)</f>
        <v>493096</v>
      </c>
    </row>
    <row r="1044" spans="1:7">
      <c r="A1044" s="486"/>
      <c r="C1044" s="195" t="s">
        <v>243</v>
      </c>
      <c r="D1044" s="291"/>
      <c r="E1044" s="291"/>
      <c r="F1044" s="291"/>
      <c r="G1044" s="291">
        <f>SUM(D1044:F1044)</f>
        <v>0</v>
      </c>
    </row>
    <row r="1045" spans="1:7">
      <c r="A1045" s="486"/>
      <c r="C1045" s="196" t="s">
        <v>587</v>
      </c>
      <c r="D1045" s="302">
        <f>1098658+24100</f>
        <v>1122758</v>
      </c>
      <c r="E1045" s="302"/>
      <c r="F1045" s="302">
        <v>133200</v>
      </c>
      <c r="G1045" s="302">
        <f>SUM(D1045:F1045)</f>
        <v>1255958</v>
      </c>
    </row>
    <row r="1046" spans="1:7">
      <c r="A1046" s="486"/>
      <c r="C1046" s="191" t="s">
        <v>121</v>
      </c>
      <c r="D1046" s="281">
        <f>413005+18000</f>
        <v>431005</v>
      </c>
      <c r="E1046" s="281"/>
      <c r="F1046" s="281">
        <v>62091</v>
      </c>
      <c r="G1046" s="281">
        <f>SUM(D1046:F1046)</f>
        <v>493096</v>
      </c>
    </row>
    <row r="1047" spans="1:7">
      <c r="A1047" s="486"/>
      <c r="C1047" s="263"/>
      <c r="D1047" s="302"/>
      <c r="E1047" s="302"/>
      <c r="F1047" s="302"/>
      <c r="G1047" s="302">
        <f>SUM(D1047:F1047)</f>
        <v>0</v>
      </c>
    </row>
    <row r="1048" spans="1:7">
      <c r="A1048" s="486"/>
      <c r="C1048" s="192"/>
      <c r="D1048" s="289"/>
      <c r="E1048" s="289"/>
      <c r="F1048" s="289"/>
      <c r="G1048" s="289">
        <f>SUM(D1048:F1048)</f>
        <v>0</v>
      </c>
    </row>
    <row r="1049" spans="1:7">
      <c r="A1049" s="486"/>
      <c r="C1049" s="186" t="s">
        <v>244</v>
      </c>
      <c r="D1049" s="277">
        <f>SUM(D1051,D1054,D1062,D1064,D1070,D1073,D1075,D1082)</f>
        <v>8455680</v>
      </c>
      <c r="E1049" s="277">
        <f t="shared" ref="E1049" si="46">SUM(E1051,E1054,E1062,E1064,E1070,E1073,E1075,E1082)</f>
        <v>65823</v>
      </c>
      <c r="F1049" s="277">
        <f>SUM(F1051,F1054,F1062,F1064,F1070,F1073,F1075,F1082,F1084)</f>
        <v>41385</v>
      </c>
      <c r="G1049" s="277">
        <f>SUM(D1049:F1049)</f>
        <v>8562888</v>
      </c>
    </row>
    <row r="1050" spans="1:7">
      <c r="A1050" s="486"/>
      <c r="C1050" s="186"/>
      <c r="D1050" s="277"/>
      <c r="E1050" s="277"/>
      <c r="F1050" s="277"/>
      <c r="G1050" s="277">
        <f>SUM(D1050:F1050)</f>
        <v>0</v>
      </c>
    </row>
    <row r="1051" spans="1:7">
      <c r="A1051" s="486" t="s">
        <v>842</v>
      </c>
      <c r="B1051" s="5" t="s">
        <v>881</v>
      </c>
      <c r="C1051" s="193" t="s">
        <v>588</v>
      </c>
      <c r="D1051" s="282">
        <f>1734508-8</f>
        <v>1734500</v>
      </c>
      <c r="E1051" s="282">
        <v>65823</v>
      </c>
      <c r="F1051" s="282">
        <v>-4036</v>
      </c>
      <c r="G1051" s="282">
        <f>SUM(D1051:F1051)</f>
        <v>1796287</v>
      </c>
    </row>
    <row r="1052" spans="1:7">
      <c r="A1052" s="486"/>
      <c r="C1052" s="171" t="s">
        <v>121</v>
      </c>
      <c r="D1052" s="281">
        <v>1179580</v>
      </c>
      <c r="E1052" s="281">
        <v>49195</v>
      </c>
      <c r="F1052" s="281">
        <v>-3017</v>
      </c>
      <c r="G1052" s="281">
        <f>SUM(D1052:F1052)</f>
        <v>1225758</v>
      </c>
    </row>
    <row r="1053" spans="1:7">
      <c r="A1053" s="486"/>
      <c r="C1053" s="186"/>
      <c r="D1053" s="277"/>
      <c r="E1053" s="277"/>
      <c r="F1053" s="277"/>
      <c r="G1053" s="277">
        <f>SUM(D1053:F1053)</f>
        <v>0</v>
      </c>
    </row>
    <row r="1054" spans="1:7">
      <c r="A1054" s="486" t="s">
        <v>673</v>
      </c>
      <c r="B1054" s="5" t="s">
        <v>881</v>
      </c>
      <c r="C1054" s="227" t="s">
        <v>589</v>
      </c>
      <c r="D1054" s="290">
        <f>SUM(D1055:D1058)</f>
        <v>5205880</v>
      </c>
      <c r="E1054" s="290"/>
      <c r="F1054" s="290"/>
      <c r="G1054" s="290">
        <f>SUM(D1054:F1054)</f>
        <v>5205880</v>
      </c>
    </row>
    <row r="1055" spans="1:7">
      <c r="A1055" s="486"/>
      <c r="C1055" s="214" t="s">
        <v>590</v>
      </c>
      <c r="D1055" s="289">
        <v>4600000</v>
      </c>
      <c r="E1055" s="289"/>
      <c r="F1055" s="289"/>
      <c r="G1055" s="289">
        <f>SUM(D1055:F1055)</f>
        <v>4600000</v>
      </c>
    </row>
    <row r="1056" spans="1:7">
      <c r="A1056" s="486"/>
      <c r="C1056" s="400" t="s">
        <v>591</v>
      </c>
      <c r="D1056" s="401">
        <v>390000</v>
      </c>
      <c r="E1056" s="401"/>
      <c r="F1056" s="401"/>
      <c r="G1056" s="401">
        <f>SUM(D1056:F1056)</f>
        <v>390000</v>
      </c>
    </row>
    <row r="1057" spans="1:7">
      <c r="A1057" s="486"/>
      <c r="C1057" s="223" t="s">
        <v>592</v>
      </c>
      <c r="D1057" s="300">
        <v>64000</v>
      </c>
      <c r="E1057" s="300"/>
      <c r="F1057" s="300"/>
      <c r="G1057" s="300">
        <f>SUM(D1057:F1057)</f>
        <v>64000</v>
      </c>
    </row>
    <row r="1058" spans="1:7">
      <c r="A1058" s="486"/>
      <c r="C1058" s="400" t="s">
        <v>593</v>
      </c>
      <c r="D1058" s="401">
        <f>146880+5000</f>
        <v>151880</v>
      </c>
      <c r="E1058" s="401"/>
      <c r="F1058" s="401"/>
      <c r="G1058" s="401">
        <f>SUM(D1058:F1058)</f>
        <v>151880</v>
      </c>
    </row>
    <row r="1059" spans="1:7">
      <c r="A1059" s="486"/>
      <c r="C1059" s="400"/>
      <c r="D1059" s="401"/>
      <c r="E1059" s="401"/>
      <c r="F1059" s="401"/>
      <c r="G1059" s="401">
        <f>SUM(D1059:F1059)</f>
        <v>0</v>
      </c>
    </row>
    <row r="1060" spans="1:7" ht="12.6" customHeight="1">
      <c r="A1060" s="486"/>
      <c r="C1060" s="382" t="s">
        <v>594</v>
      </c>
      <c r="D1060" s="300"/>
      <c r="E1060" s="300"/>
      <c r="F1060" s="300"/>
      <c r="G1060" s="300">
        <f>SUM(D1060:F1060)</f>
        <v>0</v>
      </c>
    </row>
    <row r="1061" spans="1:7">
      <c r="A1061" s="486"/>
      <c r="C1061" s="216"/>
      <c r="D1061" s="280"/>
      <c r="E1061" s="280"/>
      <c r="F1061" s="280"/>
      <c r="G1061" s="280">
        <f>SUM(D1061:F1061)</f>
        <v>0</v>
      </c>
    </row>
    <row r="1062" spans="1:7">
      <c r="A1062" s="486" t="s">
        <v>672</v>
      </c>
      <c r="B1062" s="5" t="s">
        <v>881</v>
      </c>
      <c r="C1062" s="193" t="s">
        <v>597</v>
      </c>
      <c r="D1062" s="282">
        <v>66500</v>
      </c>
      <c r="E1062" s="282"/>
      <c r="F1062" s="282"/>
      <c r="G1062" s="282">
        <f>SUM(D1062:F1062)</f>
        <v>66500</v>
      </c>
    </row>
    <row r="1063" spans="1:7">
      <c r="A1063" s="486"/>
      <c r="C1063" s="216"/>
      <c r="D1063" s="280"/>
      <c r="E1063" s="280"/>
      <c r="F1063" s="280"/>
      <c r="G1063" s="280">
        <f>SUM(D1063:F1063)</f>
        <v>0</v>
      </c>
    </row>
    <row r="1064" spans="1:7">
      <c r="A1064" s="486" t="s">
        <v>674</v>
      </c>
      <c r="B1064" s="5" t="s">
        <v>881</v>
      </c>
      <c r="C1064" s="227" t="s">
        <v>351</v>
      </c>
      <c r="D1064" s="290">
        <v>399700</v>
      </c>
      <c r="E1064" s="290"/>
      <c r="F1064" s="290">
        <v>-664</v>
      </c>
      <c r="G1064" s="290">
        <f>SUM(D1064:F1064)</f>
        <v>399036</v>
      </c>
    </row>
    <row r="1065" spans="1:7">
      <c r="A1065" s="486"/>
      <c r="C1065" s="214" t="s">
        <v>955</v>
      </c>
      <c r="D1065" s="288"/>
      <c r="E1065" s="288"/>
      <c r="F1065" s="288"/>
      <c r="G1065" s="288">
        <f>SUM(D1065:F1065)</f>
        <v>0</v>
      </c>
    </row>
    <row r="1066" spans="1:7">
      <c r="A1066" s="486"/>
      <c r="C1066" s="402" t="s">
        <v>598</v>
      </c>
      <c r="D1066" s="403"/>
      <c r="E1066" s="403"/>
      <c r="F1066" s="403"/>
      <c r="G1066" s="403">
        <f>SUM(D1066:F1066)</f>
        <v>0</v>
      </c>
    </row>
    <row r="1067" spans="1:7">
      <c r="A1067" s="486"/>
      <c r="C1067" s="402" t="s">
        <v>599</v>
      </c>
      <c r="D1067" s="403"/>
      <c r="E1067" s="403"/>
      <c r="F1067" s="403"/>
      <c r="G1067" s="403">
        <f>SUM(D1067:F1067)</f>
        <v>0</v>
      </c>
    </row>
    <row r="1068" spans="1:7">
      <c r="A1068" s="486"/>
      <c r="C1068" s="402" t="s">
        <v>600</v>
      </c>
      <c r="D1068" s="403"/>
      <c r="E1068" s="403"/>
      <c r="F1068" s="403"/>
      <c r="G1068" s="403">
        <f>SUM(D1068:F1068)</f>
        <v>0</v>
      </c>
    </row>
    <row r="1069" spans="1:7">
      <c r="A1069" s="486"/>
      <c r="C1069" s="227"/>
      <c r="D1069" s="290"/>
      <c r="E1069" s="290"/>
      <c r="F1069" s="290"/>
      <c r="G1069" s="290">
        <f>SUM(D1069:F1069)</f>
        <v>0</v>
      </c>
    </row>
    <row r="1070" spans="1:7">
      <c r="A1070" s="486" t="s">
        <v>674</v>
      </c>
      <c r="B1070" s="5" t="s">
        <v>881</v>
      </c>
      <c r="C1070" s="227" t="s">
        <v>601</v>
      </c>
      <c r="D1070" s="290">
        <v>185600</v>
      </c>
      <c r="E1070" s="290"/>
      <c r="F1070" s="290"/>
      <c r="G1070" s="290">
        <f>SUM(D1070:F1070)</f>
        <v>185600</v>
      </c>
    </row>
    <row r="1071" spans="1:7">
      <c r="A1071" s="486"/>
      <c r="C1071" s="171" t="s">
        <v>121</v>
      </c>
      <c r="D1071" s="281">
        <v>67915</v>
      </c>
      <c r="E1071" s="281"/>
      <c r="F1071" s="281"/>
      <c r="G1071" s="281">
        <f>SUM(D1071:F1071)</f>
        <v>67915</v>
      </c>
    </row>
    <row r="1072" spans="1:7">
      <c r="A1072" s="486"/>
      <c r="C1072" s="171"/>
      <c r="D1072" s="281"/>
      <c r="E1072" s="281"/>
      <c r="F1072" s="281"/>
      <c r="G1072" s="281">
        <f>SUM(D1072:F1072)</f>
        <v>0</v>
      </c>
    </row>
    <row r="1073" spans="1:7">
      <c r="A1073" s="486" t="s">
        <v>674</v>
      </c>
      <c r="B1073" s="5" t="s">
        <v>881</v>
      </c>
      <c r="C1073" s="227" t="s">
        <v>805</v>
      </c>
      <c r="D1073" s="290">
        <v>66000</v>
      </c>
      <c r="E1073" s="290"/>
      <c r="F1073" s="290"/>
      <c r="G1073" s="290">
        <f>SUM(D1073:F1073)</f>
        <v>66000</v>
      </c>
    </row>
    <row r="1074" spans="1:7">
      <c r="A1074" s="486"/>
      <c r="C1074" s="384"/>
      <c r="D1074" s="288"/>
      <c r="E1074" s="288"/>
      <c r="F1074" s="288"/>
      <c r="G1074" s="288">
        <f>SUM(D1074:F1074)</f>
        <v>0</v>
      </c>
    </row>
    <row r="1075" spans="1:7">
      <c r="A1075" s="486"/>
      <c r="C1075" s="227" t="s">
        <v>1020</v>
      </c>
      <c r="D1075" s="290">
        <f>D1076+D1077+D1078</f>
        <v>792500</v>
      </c>
      <c r="E1075" s="290"/>
      <c r="F1075" s="290">
        <f>F1076+F1077+F1078</f>
        <v>20000</v>
      </c>
      <c r="G1075" s="290">
        <f>SUM(D1075:F1075)</f>
        <v>812500</v>
      </c>
    </row>
    <row r="1076" spans="1:7">
      <c r="A1076" s="486" t="s">
        <v>674</v>
      </c>
      <c r="B1076" s="5" t="s">
        <v>881</v>
      </c>
      <c r="C1076" s="192" t="s">
        <v>1021</v>
      </c>
      <c r="D1076" s="289">
        <f>500000+2500</f>
        <v>502500</v>
      </c>
      <c r="E1076" s="289"/>
      <c r="F1076" s="289"/>
      <c r="G1076" s="289">
        <f>SUM(D1076:F1076)</f>
        <v>502500</v>
      </c>
    </row>
    <row r="1077" spans="1:7">
      <c r="A1077" s="486" t="s">
        <v>674</v>
      </c>
      <c r="B1077" s="5" t="s">
        <v>881</v>
      </c>
      <c r="C1077" s="192" t="s">
        <v>1022</v>
      </c>
      <c r="D1077" s="289">
        <v>250000</v>
      </c>
      <c r="E1077" s="289"/>
      <c r="F1077" s="289">
        <v>20000</v>
      </c>
      <c r="G1077" s="289">
        <f>SUM(D1077:F1077)</f>
        <v>270000</v>
      </c>
    </row>
    <row r="1078" spans="1:7">
      <c r="A1078" s="486" t="s">
        <v>674</v>
      </c>
      <c r="B1078" s="5" t="s">
        <v>881</v>
      </c>
      <c r="C1078" s="192" t="s">
        <v>1023</v>
      </c>
      <c r="D1078" s="289">
        <v>40000</v>
      </c>
      <c r="E1078" s="289"/>
      <c r="F1078" s="289"/>
      <c r="G1078" s="289">
        <f>SUM(D1078:F1078)</f>
        <v>40000</v>
      </c>
    </row>
    <row r="1079" spans="1:7">
      <c r="A1079" s="486"/>
      <c r="C1079" s="192"/>
      <c r="D1079" s="289"/>
      <c r="E1079" s="289"/>
      <c r="F1079" s="289"/>
      <c r="G1079" s="289">
        <f>SUM(D1079:F1079)</f>
        <v>0</v>
      </c>
    </row>
    <row r="1080" spans="1:7" ht="12.6" customHeight="1">
      <c r="A1080" s="486"/>
      <c r="C1080" s="382" t="s">
        <v>602</v>
      </c>
      <c r="D1080" s="300"/>
      <c r="E1080" s="300"/>
      <c r="F1080" s="300"/>
      <c r="G1080" s="300">
        <f>SUM(D1080:F1080)</f>
        <v>0</v>
      </c>
    </row>
    <row r="1081" spans="1:7">
      <c r="A1081" s="486"/>
      <c r="C1081" s="227"/>
      <c r="D1081" s="290"/>
      <c r="E1081" s="290"/>
      <c r="F1081" s="290"/>
      <c r="G1081" s="290">
        <f>SUM(D1081:F1081)</f>
        <v>0</v>
      </c>
    </row>
    <row r="1082" spans="1:7">
      <c r="A1082" s="486" t="s">
        <v>842</v>
      </c>
      <c r="B1082" s="5" t="s">
        <v>881</v>
      </c>
      <c r="C1082" s="216" t="s">
        <v>603</v>
      </c>
      <c r="D1082" s="280">
        <v>5000</v>
      </c>
      <c r="E1082" s="280"/>
      <c r="F1082" s="280">
        <v>-5000</v>
      </c>
      <c r="G1082" s="280">
        <f>SUM(D1082:F1082)</f>
        <v>0</v>
      </c>
    </row>
    <row r="1083" spans="1:7">
      <c r="A1083" s="486"/>
      <c r="C1083" s="216"/>
      <c r="D1083" s="280"/>
      <c r="E1083" s="280"/>
      <c r="F1083" s="280"/>
      <c r="G1083" s="280">
        <f>SUM(D1083:F1083)</f>
        <v>0</v>
      </c>
    </row>
    <row r="1084" spans="1:7" ht="25.5">
      <c r="A1084" s="486" t="s">
        <v>842</v>
      </c>
      <c r="B1084" s="5" t="s">
        <v>881</v>
      </c>
      <c r="C1084" s="227" t="s">
        <v>906</v>
      </c>
      <c r="D1084" s="280"/>
      <c r="E1084" s="280"/>
      <c r="F1084" s="541">
        <v>31085</v>
      </c>
      <c r="G1084" s="280">
        <f>SUM(D1084:F1084)</f>
        <v>31085</v>
      </c>
    </row>
    <row r="1085" spans="1:7">
      <c r="A1085" s="486"/>
      <c r="C1085" s="171" t="s">
        <v>121</v>
      </c>
      <c r="D1085" s="280"/>
      <c r="E1085" s="280"/>
      <c r="F1085" s="542">
        <v>11710</v>
      </c>
      <c r="G1085" s="280">
        <f>SUM(D1085:F1085)</f>
        <v>11710</v>
      </c>
    </row>
    <row r="1086" spans="1:7">
      <c r="A1086" s="486"/>
      <c r="C1086" s="404"/>
      <c r="D1086" s="280"/>
      <c r="E1086" s="280"/>
      <c r="F1086" s="543"/>
      <c r="G1086" s="280">
        <f>SUM(D1086:F1086)</f>
        <v>0</v>
      </c>
    </row>
    <row r="1087" spans="1:7">
      <c r="A1087" s="486"/>
      <c r="C1087" s="172" t="s">
        <v>464</v>
      </c>
      <c r="D1087" s="280"/>
      <c r="E1087" s="280"/>
      <c r="F1087" s="544">
        <v>18650</v>
      </c>
      <c r="G1087" s="280">
        <f>SUM(D1087:F1087)</f>
        <v>18650</v>
      </c>
    </row>
    <row r="1088" spans="1:7">
      <c r="A1088" s="486"/>
      <c r="C1088" s="172" t="s">
        <v>905</v>
      </c>
      <c r="D1088" s="280"/>
      <c r="E1088" s="280"/>
      <c r="F1088" s="544">
        <v>490</v>
      </c>
      <c r="G1088" s="280">
        <f>SUM(D1088:F1088)</f>
        <v>490</v>
      </c>
    </row>
    <row r="1089" spans="1:26">
      <c r="A1089" s="486"/>
      <c r="C1089" s="143"/>
      <c r="D1089" s="318"/>
      <c r="E1089" s="318"/>
      <c r="F1089" s="318"/>
      <c r="G1089" s="318">
        <f>SUM(D1089:F1089)</f>
        <v>0</v>
      </c>
    </row>
    <row r="1090" spans="1:26">
      <c r="A1090" s="486"/>
      <c r="C1090" s="479"/>
      <c r="D1090" s="480"/>
      <c r="E1090" s="480"/>
      <c r="F1090" s="480"/>
      <c r="G1090" s="480">
        <f>SUM(D1090:F1090)</f>
        <v>0</v>
      </c>
    </row>
    <row r="1091" spans="1:26" ht="15.75">
      <c r="A1091" s="486"/>
      <c r="C1091" s="184" t="s">
        <v>352</v>
      </c>
      <c r="D1091" s="276"/>
      <c r="E1091" s="276"/>
      <c r="F1091" s="276"/>
      <c r="G1091" s="276">
        <f>SUM(D1091:F1091)</f>
        <v>0</v>
      </c>
    </row>
    <row r="1092" spans="1:26">
      <c r="A1092" s="486"/>
      <c r="C1092" s="186"/>
      <c r="D1092" s="277"/>
      <c r="E1092" s="277"/>
      <c r="F1092" s="277"/>
      <c r="G1092" s="277">
        <f>SUM(D1092:F1092)</f>
        <v>0</v>
      </c>
    </row>
    <row r="1093" spans="1:26">
      <c r="A1093" s="486"/>
      <c r="C1093" s="186" t="s">
        <v>240</v>
      </c>
      <c r="D1093" s="277">
        <f>SUM(D1101,D1138,D1142,D1147)</f>
        <v>11460835</v>
      </c>
      <c r="E1093" s="277">
        <f>SUM(E1101,E1138,E1142,E1147)</f>
        <v>44701</v>
      </c>
      <c r="F1093" s="277">
        <f>SUM(F1101,F1138,F1142,F1147)</f>
        <v>254473</v>
      </c>
      <c r="G1093" s="277">
        <f>SUM(D1093:F1093)</f>
        <v>11760009</v>
      </c>
    </row>
    <row r="1094" spans="1:26">
      <c r="A1094" s="486"/>
      <c r="C1094" s="187" t="s">
        <v>825</v>
      </c>
      <c r="D1094" s="278">
        <v>1070000</v>
      </c>
      <c r="E1094" s="278"/>
      <c r="F1094" s="278">
        <v>20000</v>
      </c>
      <c r="G1094" s="278">
        <f>SUM(D1094:F1094)</f>
        <v>1090000</v>
      </c>
    </row>
    <row r="1095" spans="1:26">
      <c r="A1095" s="486"/>
      <c r="C1095" s="197" t="s">
        <v>118</v>
      </c>
      <c r="D1095" s="279">
        <f>SUM(D1096:D1098)</f>
        <v>11460835</v>
      </c>
      <c r="E1095" s="279">
        <f>SUM(E1096:E1098)</f>
        <v>44701</v>
      </c>
      <c r="F1095" s="279">
        <f>SUM(F1096:F1098)</f>
        <v>254473</v>
      </c>
      <c r="G1095" s="279">
        <f>SUM(D1095:F1095)</f>
        <v>11760009</v>
      </c>
    </row>
    <row r="1096" spans="1:26">
      <c r="A1096" s="486"/>
      <c r="C1096" s="189" t="s">
        <v>119</v>
      </c>
      <c r="D1096" s="278">
        <f>'[3]2.2 OMATULUD'!B441</f>
        <v>6748914</v>
      </c>
      <c r="E1096" s="278"/>
      <c r="F1096" s="278">
        <v>42731</v>
      </c>
      <c r="G1096" s="278">
        <f>SUM(D1096:F1096)</f>
        <v>6791645</v>
      </c>
    </row>
    <row r="1097" spans="1:26">
      <c r="A1097" s="486"/>
      <c r="C1097" s="173" t="s">
        <v>106</v>
      </c>
      <c r="D1097" s="278">
        <f>SUM(D1177,D1182,D1187,D1192)</f>
        <v>225749</v>
      </c>
      <c r="E1097" s="278"/>
      <c r="F1097" s="278">
        <v>171290</v>
      </c>
      <c r="G1097" s="278">
        <f>SUM(D1097:F1097)</f>
        <v>397039</v>
      </c>
    </row>
    <row r="1098" spans="1:26">
      <c r="A1098" s="486"/>
      <c r="C1098" s="173" t="s">
        <v>120</v>
      </c>
      <c r="D1098" s="278">
        <f>D1093-D1096-D1097</f>
        <v>4486172</v>
      </c>
      <c r="E1098" s="278">
        <f>E1093-E1096-E1097</f>
        <v>44701</v>
      </c>
      <c r="F1098" s="278">
        <f>F1093-F1096-F1097</f>
        <v>40452</v>
      </c>
      <c r="G1098" s="278">
        <f>SUM(D1098:F1098)</f>
        <v>4571325</v>
      </c>
    </row>
    <row r="1099" spans="1:26" s="493" customFormat="1">
      <c r="C1099" s="603" t="s">
        <v>884</v>
      </c>
      <c r="D1099" s="494">
        <f>D1118+D1128+D1144+D1150+D1153+D1169+D1172+D1175+D1180+D1185+D1190</f>
        <v>2591693</v>
      </c>
      <c r="E1099" s="494">
        <f t="shared" ref="E1099" si="47">E1118+E1128+E1144+E1150+E1153+E1169+E1172+E1175+E1180+E1185+E1190</f>
        <v>33409</v>
      </c>
      <c r="F1099" s="494">
        <f>F1118+F1128+F1144+F1150+F1153+F1169+F1172+F1175+F1180+F1185+F1190+F1195+F1200</f>
        <v>67860</v>
      </c>
      <c r="G1099" s="494">
        <f>SUM(D1099:F1099)</f>
        <v>2692962</v>
      </c>
      <c r="H1099" s="495"/>
      <c r="I1099" s="495"/>
      <c r="J1099" s="495"/>
      <c r="K1099" s="495"/>
      <c r="L1099" s="495"/>
      <c r="M1099" s="604"/>
      <c r="O1099" s="495"/>
      <c r="P1099" s="495"/>
      <c r="Q1099" s="495"/>
      <c r="R1099" s="604"/>
      <c r="T1099" s="495"/>
      <c r="U1099" s="495"/>
      <c r="V1099" s="495"/>
      <c r="W1099" s="604"/>
      <c r="Z1099" s="103"/>
    </row>
    <row r="1100" spans="1:26">
      <c r="A1100" s="486"/>
      <c r="C1100" s="261"/>
      <c r="D1100" s="278"/>
      <c r="E1100" s="278"/>
      <c r="F1100" s="278"/>
      <c r="G1100" s="278">
        <f>SUM(D1100:F1100)</f>
        <v>0</v>
      </c>
    </row>
    <row r="1101" spans="1:26" ht="15">
      <c r="A1101" s="486" t="s">
        <v>674</v>
      </c>
      <c r="B1101" s="5" t="s">
        <v>352</v>
      </c>
      <c r="C1101" s="408" t="s">
        <v>349</v>
      </c>
      <c r="D1101" s="409">
        <f>SUM(D1102,D1117,D1124,D1127)</f>
        <v>7786250</v>
      </c>
      <c r="E1101" s="409"/>
      <c r="F1101" s="409">
        <f>SUM(F1102,F1117,F1124,F1127)</f>
        <v>64380</v>
      </c>
      <c r="G1101" s="409">
        <f>SUM(D1101:F1101)</f>
        <v>7850630</v>
      </c>
    </row>
    <row r="1102" spans="1:26">
      <c r="A1102" s="486"/>
      <c r="C1102" s="181" t="s">
        <v>350</v>
      </c>
      <c r="D1102" s="291">
        <f>SUM(D1104,D1111,D1109,D1115,D1113)</f>
        <v>690500</v>
      </c>
      <c r="E1102" s="291"/>
      <c r="F1102" s="291"/>
      <c r="G1102" s="291">
        <f>SUM(D1102:F1102)</f>
        <v>690500</v>
      </c>
    </row>
    <row r="1103" spans="1:26">
      <c r="A1103" s="486"/>
      <c r="C1103" s="195" t="s">
        <v>243</v>
      </c>
      <c r="D1103" s="291"/>
      <c r="E1103" s="291"/>
      <c r="F1103" s="291"/>
      <c r="G1103" s="291">
        <f>SUM(D1103:F1103)</f>
        <v>0</v>
      </c>
    </row>
    <row r="1104" spans="1:26">
      <c r="A1104" s="486"/>
      <c r="C1104" s="196" t="s">
        <v>604</v>
      </c>
      <c r="D1104" s="302">
        <v>230500</v>
      </c>
      <c r="E1104" s="302"/>
      <c r="F1104" s="302"/>
      <c r="G1104" s="302">
        <f>SUM(D1104:F1104)</f>
        <v>230500</v>
      </c>
    </row>
    <row r="1105" spans="1:7">
      <c r="A1105" s="486"/>
      <c r="C1105" s="263"/>
      <c r="D1105" s="302"/>
      <c r="E1105" s="302"/>
      <c r="F1105" s="302"/>
      <c r="G1105" s="302">
        <f>SUM(D1105:F1105)</f>
        <v>0</v>
      </c>
    </row>
    <row r="1106" spans="1:7">
      <c r="A1106" s="486"/>
      <c r="C1106" s="262"/>
      <c r="D1106" s="326"/>
      <c r="E1106" s="326"/>
      <c r="F1106" s="326"/>
      <c r="G1106" s="326">
        <f>SUM(D1106:F1106)</f>
        <v>0</v>
      </c>
    </row>
    <row r="1107" spans="1:7">
      <c r="A1107" s="486"/>
      <c r="C1107" s="195" t="s">
        <v>782</v>
      </c>
      <c r="D1107" s="291"/>
      <c r="E1107" s="291"/>
      <c r="F1107" s="291"/>
      <c r="G1107" s="291">
        <f>SUM(D1107:F1107)</f>
        <v>0</v>
      </c>
    </row>
    <row r="1108" spans="1:7">
      <c r="A1108" s="486"/>
      <c r="C1108" s="195"/>
      <c r="D1108" s="291"/>
      <c r="E1108" s="291"/>
      <c r="F1108" s="291"/>
      <c r="G1108" s="291">
        <f>SUM(D1108:F1108)</f>
        <v>0</v>
      </c>
    </row>
    <row r="1109" spans="1:7">
      <c r="A1109" s="486"/>
      <c r="C1109" s="209" t="s">
        <v>606</v>
      </c>
      <c r="D1109" s="312">
        <v>330000</v>
      </c>
      <c r="E1109" s="312"/>
      <c r="F1109" s="312"/>
      <c r="G1109" s="312">
        <f>SUM(D1109:F1109)</f>
        <v>330000</v>
      </c>
    </row>
    <row r="1110" spans="1:7">
      <c r="A1110" s="486"/>
      <c r="C1110" s="209"/>
      <c r="D1110" s="312"/>
      <c r="E1110" s="312"/>
      <c r="F1110" s="312"/>
      <c r="G1110" s="312">
        <f>SUM(D1110:F1110)</f>
        <v>0</v>
      </c>
    </row>
    <row r="1111" spans="1:7">
      <c r="A1111" s="486"/>
      <c r="C1111" s="209" t="s">
        <v>605</v>
      </c>
      <c r="D1111" s="312">
        <v>50000</v>
      </c>
      <c r="E1111" s="312"/>
      <c r="F1111" s="312"/>
      <c r="G1111" s="312">
        <f>SUM(D1111:F1111)</f>
        <v>50000</v>
      </c>
    </row>
    <row r="1112" spans="1:7">
      <c r="A1112" s="486"/>
      <c r="C1112" s="410"/>
      <c r="D1112" s="411"/>
      <c r="E1112" s="411"/>
      <c r="F1112" s="411"/>
      <c r="G1112" s="411">
        <f>SUM(D1112:F1112)</f>
        <v>0</v>
      </c>
    </row>
    <row r="1113" spans="1:7">
      <c r="A1113" s="486"/>
      <c r="C1113" s="626" t="s">
        <v>1024</v>
      </c>
      <c r="D1113" s="312">
        <v>40000</v>
      </c>
      <c r="E1113" s="312"/>
      <c r="F1113" s="312"/>
      <c r="G1113" s="312">
        <f>SUM(D1113:F1113)</f>
        <v>40000</v>
      </c>
    </row>
    <row r="1114" spans="1:7">
      <c r="A1114" s="486"/>
      <c r="C1114" s="410"/>
      <c r="D1114" s="312"/>
      <c r="E1114" s="312"/>
      <c r="F1114" s="312"/>
      <c r="G1114" s="312">
        <f>SUM(D1114:F1114)</f>
        <v>0</v>
      </c>
    </row>
    <row r="1115" spans="1:7">
      <c r="A1115" s="486"/>
      <c r="C1115" s="209" t="s">
        <v>607</v>
      </c>
      <c r="D1115" s="312">
        <f>20000+20000</f>
        <v>40000</v>
      </c>
      <c r="E1115" s="312"/>
      <c r="F1115" s="312"/>
      <c r="G1115" s="312">
        <f>SUM(D1115:F1115)</f>
        <v>40000</v>
      </c>
    </row>
    <row r="1116" spans="1:7">
      <c r="A1116" s="486"/>
      <c r="C1116" s="209"/>
      <c r="D1116" s="312"/>
      <c r="E1116" s="312"/>
      <c r="F1116" s="312"/>
      <c r="G1116" s="312">
        <f>SUM(D1116:F1116)</f>
        <v>0</v>
      </c>
    </row>
    <row r="1117" spans="1:7">
      <c r="A1117" s="486"/>
      <c r="C1117" s="181" t="s">
        <v>608</v>
      </c>
      <c r="D1117" s="291">
        <f>D1120</f>
        <v>1581990</v>
      </c>
      <c r="E1117" s="291"/>
      <c r="F1117" s="291">
        <f>F1120</f>
        <v>18500</v>
      </c>
      <c r="G1117" s="291">
        <f>SUM(D1117:F1117)</f>
        <v>1600490</v>
      </c>
    </row>
    <row r="1118" spans="1:7">
      <c r="A1118" s="486"/>
      <c r="C1118" s="182" t="s">
        <v>121</v>
      </c>
      <c r="D1118" s="281">
        <f>D1121</f>
        <v>647520</v>
      </c>
      <c r="E1118" s="281"/>
      <c r="F1118" s="281">
        <f>F1121</f>
        <v>0</v>
      </c>
      <c r="G1118" s="281">
        <f>SUM(D1118:F1118)</f>
        <v>647520</v>
      </c>
    </row>
    <row r="1119" spans="1:7">
      <c r="A1119" s="486"/>
      <c r="C1119" s="195" t="s">
        <v>243</v>
      </c>
      <c r="D1119" s="291"/>
      <c r="E1119" s="291"/>
      <c r="F1119" s="291"/>
      <c r="G1119" s="291">
        <f>SUM(D1119:F1119)</f>
        <v>0</v>
      </c>
    </row>
    <row r="1120" spans="1:7">
      <c r="A1120" s="486"/>
      <c r="C1120" s="196" t="s">
        <v>609</v>
      </c>
      <c r="D1120" s="302">
        <f>1569930+12060</f>
        <v>1581990</v>
      </c>
      <c r="E1120" s="302"/>
      <c r="F1120" s="302">
        <v>18500</v>
      </c>
      <c r="G1120" s="302">
        <f>SUM(D1120:F1120)</f>
        <v>1600490</v>
      </c>
    </row>
    <row r="1121" spans="1:7">
      <c r="A1121" s="486"/>
      <c r="C1121" s="191" t="s">
        <v>121</v>
      </c>
      <c r="D1121" s="281">
        <f>638520+9000</f>
        <v>647520</v>
      </c>
      <c r="E1121" s="281"/>
      <c r="F1121" s="281"/>
      <c r="G1121" s="281">
        <f>SUM(D1121:F1121)</f>
        <v>647520</v>
      </c>
    </row>
    <row r="1122" spans="1:7">
      <c r="A1122" s="486"/>
      <c r="C1122" s="263"/>
      <c r="D1122" s="302"/>
      <c r="E1122" s="302"/>
      <c r="F1122" s="302"/>
      <c r="G1122" s="302">
        <f>SUM(D1122:F1122)</f>
        <v>0</v>
      </c>
    </row>
    <row r="1123" spans="1:7">
      <c r="A1123" s="486"/>
      <c r="C1123" s="263"/>
      <c r="D1123" s="302"/>
      <c r="E1123" s="302"/>
      <c r="F1123" s="302"/>
      <c r="G1123" s="302">
        <f>SUM(D1123:F1123)</f>
        <v>0</v>
      </c>
    </row>
    <row r="1124" spans="1:7">
      <c r="A1124" s="486"/>
      <c r="C1124" s="181" t="s">
        <v>610</v>
      </c>
      <c r="D1124" s="291">
        <v>333700</v>
      </c>
      <c r="E1124" s="291"/>
      <c r="F1124" s="291">
        <v>13000</v>
      </c>
      <c r="G1124" s="291">
        <f>SUM(D1124:F1124)</f>
        <v>346700</v>
      </c>
    </row>
    <row r="1125" spans="1:7">
      <c r="A1125" s="486"/>
      <c r="C1125" s="263"/>
      <c r="D1125" s="302"/>
      <c r="E1125" s="302"/>
      <c r="F1125" s="302"/>
      <c r="G1125" s="302">
        <f>SUM(D1125:F1125)</f>
        <v>0</v>
      </c>
    </row>
    <row r="1126" spans="1:7">
      <c r="A1126" s="486"/>
      <c r="C1126" s="263"/>
      <c r="D1126" s="302"/>
      <c r="E1126" s="302"/>
      <c r="F1126" s="302"/>
      <c r="G1126" s="302">
        <f>SUM(D1126:F1126)</f>
        <v>0</v>
      </c>
    </row>
    <row r="1127" spans="1:7">
      <c r="A1127" s="486"/>
      <c r="C1127" s="181" t="s">
        <v>611</v>
      </c>
      <c r="D1127" s="291">
        <f>D1130+D1135</f>
        <v>5180060</v>
      </c>
      <c r="E1127" s="291"/>
      <c r="F1127" s="291">
        <f>F1130+F1135</f>
        <v>32880</v>
      </c>
      <c r="G1127" s="291">
        <f>SUM(D1127:F1127)</f>
        <v>5212940</v>
      </c>
    </row>
    <row r="1128" spans="1:7">
      <c r="A1128" s="486"/>
      <c r="C1128" s="182" t="s">
        <v>121</v>
      </c>
      <c r="D1128" s="281">
        <f>D1131</f>
        <v>316100</v>
      </c>
      <c r="E1128" s="281"/>
      <c r="F1128" s="281">
        <f>F1131</f>
        <v>0</v>
      </c>
      <c r="G1128" s="281">
        <f>SUM(D1128:F1128)</f>
        <v>316100</v>
      </c>
    </row>
    <row r="1129" spans="1:7">
      <c r="A1129" s="486"/>
      <c r="C1129" s="195" t="s">
        <v>243</v>
      </c>
      <c r="D1129" s="291"/>
      <c r="E1129" s="291"/>
      <c r="F1129" s="291"/>
      <c r="G1129" s="291">
        <f>SUM(D1129:F1129)</f>
        <v>0</v>
      </c>
    </row>
    <row r="1130" spans="1:7">
      <c r="A1130" s="486"/>
      <c r="C1130" s="196" t="s">
        <v>612</v>
      </c>
      <c r="D1130" s="302">
        <v>4921360</v>
      </c>
      <c r="E1130" s="302"/>
      <c r="F1130" s="302"/>
      <c r="G1130" s="302">
        <f>SUM(D1130:F1130)</f>
        <v>4921360</v>
      </c>
    </row>
    <row r="1131" spans="1:7">
      <c r="A1131" s="486"/>
      <c r="C1131" s="191" t="s">
        <v>121</v>
      </c>
      <c r="D1131" s="281">
        <v>316100</v>
      </c>
      <c r="E1131" s="281"/>
      <c r="F1131" s="281"/>
      <c r="G1131" s="281">
        <f>SUM(D1131:F1131)</f>
        <v>316100</v>
      </c>
    </row>
    <row r="1132" spans="1:7">
      <c r="A1132" s="486"/>
      <c r="C1132" s="384"/>
      <c r="D1132" s="288"/>
      <c r="E1132" s="288"/>
      <c r="F1132" s="288"/>
      <c r="G1132" s="288">
        <f>SUM(D1132:F1132)</f>
        <v>0</v>
      </c>
    </row>
    <row r="1133" spans="1:7">
      <c r="A1133" s="486"/>
      <c r="C1133" s="262"/>
      <c r="D1133" s="326"/>
      <c r="E1133" s="326"/>
      <c r="F1133" s="326"/>
      <c r="G1133" s="326">
        <f>SUM(D1133:F1133)</f>
        <v>0</v>
      </c>
    </row>
    <row r="1134" spans="1:7">
      <c r="A1134" s="486"/>
      <c r="C1134" s="195" t="s">
        <v>243</v>
      </c>
      <c r="D1134" s="291"/>
      <c r="E1134" s="291"/>
      <c r="F1134" s="291"/>
      <c r="G1134" s="291">
        <f>SUM(D1134:F1134)</f>
        <v>0</v>
      </c>
    </row>
    <row r="1135" spans="1:7">
      <c r="A1135" s="486"/>
      <c r="C1135" s="196" t="s">
        <v>613</v>
      </c>
      <c r="D1135" s="302">
        <v>258700</v>
      </c>
      <c r="E1135" s="302"/>
      <c r="F1135" s="302">
        <v>32880</v>
      </c>
      <c r="G1135" s="302">
        <f>SUM(D1135:F1135)</f>
        <v>291580</v>
      </c>
    </row>
    <row r="1136" spans="1:7">
      <c r="A1136" s="486"/>
      <c r="C1136" s="263"/>
      <c r="D1136" s="302"/>
      <c r="E1136" s="302"/>
      <c r="F1136" s="302"/>
      <c r="G1136" s="302">
        <f>SUM(D1136:F1136)</f>
        <v>0</v>
      </c>
    </row>
    <row r="1137" spans="1:7">
      <c r="A1137" s="486"/>
      <c r="C1137" s="263"/>
      <c r="D1137" s="302"/>
      <c r="E1137" s="302"/>
      <c r="F1137" s="302"/>
      <c r="G1137" s="302">
        <f>SUM(D1137:F1137)</f>
        <v>0</v>
      </c>
    </row>
    <row r="1138" spans="1:7" ht="15">
      <c r="A1138" s="486" t="s">
        <v>842</v>
      </c>
      <c r="B1138" s="5" t="s">
        <v>352</v>
      </c>
      <c r="C1138" s="190" t="s">
        <v>614</v>
      </c>
      <c r="D1138" s="298">
        <f>SUM(D1139)</f>
        <v>5500</v>
      </c>
      <c r="E1138" s="298"/>
      <c r="F1138" s="298"/>
      <c r="G1138" s="298">
        <f>SUM(D1138:F1138)</f>
        <v>5500</v>
      </c>
    </row>
    <row r="1139" spans="1:7">
      <c r="A1139" s="486"/>
      <c r="C1139" s="181" t="s">
        <v>615</v>
      </c>
      <c r="D1139" s="291">
        <v>5500</v>
      </c>
      <c r="E1139" s="291"/>
      <c r="F1139" s="291"/>
      <c r="G1139" s="291">
        <f>SUM(D1139:F1139)</f>
        <v>5500</v>
      </c>
    </row>
    <row r="1140" spans="1:7">
      <c r="A1140" s="486"/>
      <c r="C1140" s="181"/>
      <c r="D1140" s="291"/>
      <c r="E1140" s="291"/>
      <c r="F1140" s="291"/>
      <c r="G1140" s="291">
        <f>SUM(D1140:F1140)</f>
        <v>0</v>
      </c>
    </row>
    <row r="1141" spans="1:7">
      <c r="A1141" s="486"/>
      <c r="C1141" s="262"/>
      <c r="D1141" s="326"/>
      <c r="E1141" s="326"/>
      <c r="F1141" s="326"/>
      <c r="G1141" s="326">
        <f>SUM(D1141:F1141)</f>
        <v>0</v>
      </c>
    </row>
    <row r="1142" spans="1:7" ht="15">
      <c r="A1142" s="486" t="s">
        <v>671</v>
      </c>
      <c r="B1142" s="5" t="s">
        <v>352</v>
      </c>
      <c r="C1142" s="190" t="s">
        <v>245</v>
      </c>
      <c r="D1142" s="298">
        <f>SUM(D1143)</f>
        <v>1248615</v>
      </c>
      <c r="E1142" s="298"/>
      <c r="F1142" s="298"/>
      <c r="G1142" s="298">
        <f>SUM(D1142:F1142)</f>
        <v>1248615</v>
      </c>
    </row>
    <row r="1143" spans="1:7">
      <c r="A1143" s="486"/>
      <c r="C1143" s="181" t="s">
        <v>616</v>
      </c>
      <c r="D1143" s="291">
        <f>1220475+28140</f>
        <v>1248615</v>
      </c>
      <c r="E1143" s="291"/>
      <c r="F1143" s="291"/>
      <c r="G1143" s="291">
        <f>SUM(D1143:F1143)</f>
        <v>1248615</v>
      </c>
    </row>
    <row r="1144" spans="1:7">
      <c r="A1144" s="486"/>
      <c r="C1144" s="182" t="s">
        <v>121</v>
      </c>
      <c r="D1144" s="281">
        <f>656205+21000</f>
        <v>677205</v>
      </c>
      <c r="E1144" s="281"/>
      <c r="F1144" s="281"/>
      <c r="G1144" s="281">
        <f>SUM(D1144:F1144)</f>
        <v>677205</v>
      </c>
    </row>
    <row r="1145" spans="1:7">
      <c r="A1145" s="486"/>
      <c r="C1145" s="191"/>
      <c r="D1145" s="281"/>
      <c r="E1145" s="281"/>
      <c r="F1145" s="281"/>
      <c r="G1145" s="281">
        <f>SUM(D1145:F1145)</f>
        <v>0</v>
      </c>
    </row>
    <row r="1146" spans="1:7">
      <c r="A1146" s="486"/>
      <c r="C1146" s="377"/>
      <c r="D1146" s="285"/>
      <c r="E1146" s="285"/>
      <c r="F1146" s="285"/>
      <c r="G1146" s="285">
        <f>SUM(D1146:F1146)</f>
        <v>0</v>
      </c>
    </row>
    <row r="1147" spans="1:7">
      <c r="A1147" s="486"/>
      <c r="C1147" s="186" t="s">
        <v>244</v>
      </c>
      <c r="D1147" s="277">
        <f>SUM(D1149,D1152,D1155,D1157,D1159,D1162,D1168,D1171,D1174,D1179,D1184,D1189)</f>
        <v>2420470</v>
      </c>
      <c r="E1147" s="277">
        <f t="shared" ref="E1147" si="48">SUM(E1149,E1152,E1155,E1157,E1159,E1162,E1168,E1171,E1174,E1179,E1184,E1189)</f>
        <v>44701</v>
      </c>
      <c r="F1147" s="277">
        <f>SUM(F1149,F1152,F1155,F1157,F1159,F1162,F1168,F1171,F1174,F1179,F1184,F1189,F1194,F1199)</f>
        <v>190093</v>
      </c>
      <c r="G1147" s="277">
        <f>SUM(D1147:F1147)</f>
        <v>2655264</v>
      </c>
    </row>
    <row r="1148" spans="1:7">
      <c r="A1148" s="486"/>
      <c r="C1148" s="186"/>
      <c r="D1148" s="277"/>
      <c r="E1148" s="277"/>
      <c r="F1148" s="277"/>
      <c r="G1148" s="277">
        <f>SUM(D1148:F1148)</f>
        <v>0</v>
      </c>
    </row>
    <row r="1149" spans="1:7">
      <c r="A1149" s="486" t="s">
        <v>776</v>
      </c>
      <c r="B1149" s="5" t="s">
        <v>352</v>
      </c>
      <c r="C1149" s="193" t="s">
        <v>617</v>
      </c>
      <c r="D1149" s="282">
        <f>1141346+25785-1</f>
        <v>1167130</v>
      </c>
      <c r="E1149" s="282">
        <v>44701</v>
      </c>
      <c r="F1149" s="582">
        <f>651+4373-3973</f>
        <v>1051</v>
      </c>
      <c r="G1149" s="282">
        <f>SUM(D1149:F1149)</f>
        <v>1212882</v>
      </c>
    </row>
    <row r="1150" spans="1:7">
      <c r="A1150" s="486"/>
      <c r="C1150" s="171" t="s">
        <v>121</v>
      </c>
      <c r="D1150" s="281">
        <f>783150+18995</f>
        <v>802145</v>
      </c>
      <c r="E1150" s="281">
        <v>33409</v>
      </c>
      <c r="F1150" s="542">
        <f>3150-2970</f>
        <v>180</v>
      </c>
      <c r="G1150" s="281">
        <f>SUM(D1150:F1150)</f>
        <v>835734</v>
      </c>
    </row>
    <row r="1151" spans="1:7">
      <c r="A1151" s="486"/>
      <c r="C1151" s="216"/>
      <c r="D1151" s="280"/>
      <c r="E1151" s="280"/>
      <c r="F1151" s="542"/>
      <c r="G1151" s="280">
        <f>SUM(D1151:F1151)</f>
        <v>0</v>
      </c>
    </row>
    <row r="1152" spans="1:7">
      <c r="A1152" s="486" t="s">
        <v>673</v>
      </c>
      <c r="B1152" s="5" t="s">
        <v>352</v>
      </c>
      <c r="C1152" s="227" t="s">
        <v>618</v>
      </c>
      <c r="D1152" s="290">
        <v>184585</v>
      </c>
      <c r="E1152" s="290"/>
      <c r="F1152" s="582">
        <v>8000</v>
      </c>
      <c r="G1152" s="290">
        <f>SUM(D1152:F1152)</f>
        <v>192585</v>
      </c>
    </row>
    <row r="1153" spans="1:7">
      <c r="A1153" s="486"/>
      <c r="C1153" s="171" t="s">
        <v>121</v>
      </c>
      <c r="D1153" s="281">
        <v>58525</v>
      </c>
      <c r="E1153" s="281"/>
      <c r="F1153" s="542">
        <v>5980</v>
      </c>
      <c r="G1153" s="281">
        <f>SUM(D1153:F1153)</f>
        <v>64505</v>
      </c>
    </row>
    <row r="1154" spans="1:7">
      <c r="A1154" s="486"/>
      <c r="C1154" s="412"/>
      <c r="D1154" s="288"/>
      <c r="E1154" s="288"/>
      <c r="F1154" s="627"/>
      <c r="G1154" s="288">
        <f>SUM(D1154:F1154)</f>
        <v>0</v>
      </c>
    </row>
    <row r="1155" spans="1:7">
      <c r="A1155" s="486" t="s">
        <v>776</v>
      </c>
      <c r="B1155" s="5" t="s">
        <v>352</v>
      </c>
      <c r="C1155" s="216" t="s">
        <v>619</v>
      </c>
      <c r="D1155" s="280">
        <v>235000</v>
      </c>
      <c r="E1155" s="280"/>
      <c r="F1155" s="605">
        <v>18000</v>
      </c>
      <c r="G1155" s="280">
        <f>SUM(D1155:F1155)</f>
        <v>253000</v>
      </c>
    </row>
    <row r="1156" spans="1:7">
      <c r="A1156" s="486"/>
      <c r="C1156" s="216"/>
      <c r="D1156" s="280"/>
      <c r="E1156" s="280"/>
      <c r="F1156" s="280"/>
      <c r="G1156" s="280">
        <f>SUM(D1156:F1156)</f>
        <v>0</v>
      </c>
    </row>
    <row r="1157" spans="1:7">
      <c r="A1157" s="486" t="s">
        <v>776</v>
      </c>
      <c r="B1157" s="5" t="s">
        <v>352</v>
      </c>
      <c r="C1157" s="216" t="s">
        <v>620</v>
      </c>
      <c r="D1157" s="280">
        <v>9600</v>
      </c>
      <c r="E1157" s="280"/>
      <c r="F1157" s="280"/>
      <c r="G1157" s="280">
        <f>SUM(D1157:F1157)</f>
        <v>9600</v>
      </c>
    </row>
    <row r="1158" spans="1:7">
      <c r="A1158" s="486"/>
      <c r="C1158" s="186"/>
      <c r="D1158" s="277"/>
      <c r="E1158" s="277"/>
      <c r="F1158" s="277"/>
      <c r="G1158" s="277">
        <f>SUM(D1158:F1158)</f>
        <v>0</v>
      </c>
    </row>
    <row r="1159" spans="1:7">
      <c r="A1159" s="486" t="s">
        <v>674</v>
      </c>
      <c r="B1159" s="5" t="s">
        <v>352</v>
      </c>
      <c r="C1159" s="193" t="s">
        <v>621</v>
      </c>
      <c r="D1159" s="282">
        <v>105400</v>
      </c>
      <c r="E1159" s="282"/>
      <c r="F1159" s="282">
        <v>-7000</v>
      </c>
      <c r="G1159" s="282">
        <f>SUM(D1159:F1159)</f>
        <v>98400</v>
      </c>
    </row>
    <row r="1160" spans="1:7">
      <c r="A1160" s="486"/>
      <c r="C1160" s="193"/>
      <c r="D1160" s="282"/>
      <c r="E1160" s="282"/>
      <c r="F1160" s="282"/>
      <c r="G1160" s="282">
        <f>SUM(D1160:F1160)</f>
        <v>0</v>
      </c>
    </row>
    <row r="1161" spans="1:7">
      <c r="A1161" s="486"/>
      <c r="C1161" s="262"/>
      <c r="D1161" s="326"/>
      <c r="E1161" s="326"/>
      <c r="F1161" s="326"/>
      <c r="G1161" s="326">
        <f>SUM(D1161:F1161)</f>
        <v>0</v>
      </c>
    </row>
    <row r="1162" spans="1:7">
      <c r="A1162" s="486" t="s">
        <v>674</v>
      </c>
      <c r="B1162" s="5" t="s">
        <v>352</v>
      </c>
      <c r="C1162" s="227" t="s">
        <v>351</v>
      </c>
      <c r="D1162" s="290">
        <v>431900</v>
      </c>
      <c r="E1162" s="290"/>
      <c r="F1162" s="290">
        <v>-26000</v>
      </c>
      <c r="G1162" s="290">
        <f>SUM(D1162:F1162)</f>
        <v>405900</v>
      </c>
    </row>
    <row r="1163" spans="1:7">
      <c r="A1163" s="486"/>
      <c r="C1163" s="214" t="s">
        <v>954</v>
      </c>
      <c r="D1163" s="288"/>
      <c r="E1163" s="288"/>
      <c r="F1163" s="288"/>
      <c r="G1163" s="288">
        <f>SUM(D1163:F1163)</f>
        <v>0</v>
      </c>
    </row>
    <row r="1164" spans="1:7">
      <c r="A1164" s="486"/>
      <c r="C1164" s="192" t="s">
        <v>622</v>
      </c>
      <c r="D1164" s="289"/>
      <c r="E1164" s="289"/>
      <c r="F1164" s="289"/>
      <c r="G1164" s="289">
        <f>SUM(D1164:F1164)</f>
        <v>0</v>
      </c>
    </row>
    <row r="1165" spans="1:7">
      <c r="A1165" s="486"/>
      <c r="C1165" s="192" t="s">
        <v>623</v>
      </c>
      <c r="D1165" s="289"/>
      <c r="E1165" s="289"/>
      <c r="F1165" s="540" t="s">
        <v>1025</v>
      </c>
      <c r="G1165" s="289">
        <f>SUM(D1165:F1165)</f>
        <v>0</v>
      </c>
    </row>
    <row r="1166" spans="1:7">
      <c r="A1166" s="486"/>
      <c r="C1166" s="192" t="s">
        <v>624</v>
      </c>
      <c r="D1166" s="289"/>
      <c r="E1166" s="289"/>
      <c r="F1166" s="289"/>
      <c r="G1166" s="289">
        <f>SUM(D1166:F1166)</f>
        <v>0</v>
      </c>
    </row>
    <row r="1167" spans="1:7">
      <c r="A1167" s="486"/>
      <c r="C1167" s="171"/>
      <c r="D1167" s="281"/>
      <c r="E1167" s="281"/>
      <c r="F1167" s="281"/>
      <c r="G1167" s="281">
        <f>SUM(D1167:F1167)</f>
        <v>0</v>
      </c>
    </row>
    <row r="1168" spans="1:7">
      <c r="A1168" s="486" t="s">
        <v>674</v>
      </c>
      <c r="B1168" s="5" t="s">
        <v>352</v>
      </c>
      <c r="C1168" s="193" t="s">
        <v>625</v>
      </c>
      <c r="D1168" s="282">
        <v>31500</v>
      </c>
      <c r="E1168" s="282"/>
      <c r="F1168" s="282"/>
      <c r="G1168" s="282">
        <f>SUM(D1168:F1168)</f>
        <v>31500</v>
      </c>
    </row>
    <row r="1169" spans="1:7">
      <c r="A1169" s="486"/>
      <c r="C1169" s="171" t="s">
        <v>121</v>
      </c>
      <c r="D1169" s="281">
        <v>6600</v>
      </c>
      <c r="E1169" s="281"/>
      <c r="F1169" s="281"/>
      <c r="G1169" s="281">
        <f>SUM(D1169:F1169)</f>
        <v>6600</v>
      </c>
    </row>
    <row r="1170" spans="1:7">
      <c r="A1170" s="486"/>
      <c r="C1170" s="404"/>
      <c r="D1170" s="315"/>
      <c r="E1170" s="315"/>
      <c r="F1170" s="315"/>
      <c r="G1170" s="315">
        <f>SUM(D1170:F1170)</f>
        <v>0</v>
      </c>
    </row>
    <row r="1171" spans="1:7">
      <c r="A1171" s="486" t="s">
        <v>670</v>
      </c>
      <c r="B1171" s="5" t="s">
        <v>352</v>
      </c>
      <c r="C1171" s="193" t="s">
        <v>626</v>
      </c>
      <c r="D1171" s="282">
        <v>9500</v>
      </c>
      <c r="E1171" s="282"/>
      <c r="F1171" s="282"/>
      <c r="G1171" s="282">
        <f>SUM(D1171:F1171)</f>
        <v>9500</v>
      </c>
    </row>
    <row r="1172" spans="1:7">
      <c r="A1172" s="486"/>
      <c r="C1172" s="171" t="s">
        <v>121</v>
      </c>
      <c r="D1172" s="281">
        <v>7100</v>
      </c>
      <c r="E1172" s="281"/>
      <c r="F1172" s="281"/>
      <c r="G1172" s="281">
        <f>SUM(D1172:F1172)</f>
        <v>7100</v>
      </c>
    </row>
    <row r="1173" spans="1:7">
      <c r="A1173" s="486"/>
      <c r="C1173" s="171"/>
      <c r="D1173" s="281"/>
      <c r="E1173" s="281"/>
      <c r="F1173" s="281"/>
      <c r="G1173" s="281">
        <f>SUM(D1173:F1173)</f>
        <v>0</v>
      </c>
    </row>
    <row r="1174" spans="1:7">
      <c r="A1174" s="486" t="s">
        <v>776</v>
      </c>
      <c r="B1174" s="5" t="s">
        <v>352</v>
      </c>
      <c r="C1174" s="227" t="s">
        <v>820</v>
      </c>
      <c r="D1174" s="290">
        <v>6722</v>
      </c>
      <c r="E1174" s="290"/>
      <c r="F1174" s="290"/>
      <c r="G1174" s="290">
        <f>SUM(D1174:F1174)</f>
        <v>6722</v>
      </c>
    </row>
    <row r="1175" spans="1:7">
      <c r="A1175" s="486"/>
      <c r="C1175" s="171" t="s">
        <v>121</v>
      </c>
      <c r="D1175" s="281">
        <v>3834</v>
      </c>
      <c r="E1175" s="281"/>
      <c r="F1175" s="281"/>
      <c r="G1175" s="281">
        <f>SUM(D1175:F1175)</f>
        <v>3834</v>
      </c>
    </row>
    <row r="1176" spans="1:7">
      <c r="A1176" s="486"/>
      <c r="C1176" s="404"/>
      <c r="D1176" s="315"/>
      <c r="E1176" s="315"/>
      <c r="F1176" s="315"/>
      <c r="G1176" s="315">
        <f>SUM(D1176:F1176)</f>
        <v>0</v>
      </c>
    </row>
    <row r="1177" spans="1:7">
      <c r="A1177" s="486"/>
      <c r="C1177" s="172" t="s">
        <v>464</v>
      </c>
      <c r="D1177" s="287">
        <v>6722</v>
      </c>
      <c r="E1177" s="287"/>
      <c r="F1177" s="287"/>
      <c r="G1177" s="287">
        <f>SUM(D1177:F1177)</f>
        <v>6722</v>
      </c>
    </row>
    <row r="1178" spans="1:7">
      <c r="A1178" s="486"/>
      <c r="C1178" s="172"/>
      <c r="D1178" s="287"/>
      <c r="E1178" s="287"/>
      <c r="F1178" s="287"/>
      <c r="G1178" s="287">
        <f>SUM(D1178:F1178)</f>
        <v>0</v>
      </c>
    </row>
    <row r="1179" spans="1:7" ht="25.5">
      <c r="A1179" s="486" t="s">
        <v>776</v>
      </c>
      <c r="B1179" s="5" t="s">
        <v>352</v>
      </c>
      <c r="C1179" s="227" t="s">
        <v>821</v>
      </c>
      <c r="D1179" s="290">
        <v>15891</v>
      </c>
      <c r="E1179" s="290"/>
      <c r="F1179" s="290"/>
      <c r="G1179" s="290">
        <f>SUM(D1179:F1179)</f>
        <v>15891</v>
      </c>
    </row>
    <row r="1180" spans="1:7">
      <c r="A1180" s="486"/>
      <c r="C1180" s="171" t="s">
        <v>121</v>
      </c>
      <c r="D1180" s="281">
        <v>7470</v>
      </c>
      <c r="E1180" s="281"/>
      <c r="F1180" s="281"/>
      <c r="G1180" s="281">
        <f>SUM(D1180:F1180)</f>
        <v>7470</v>
      </c>
    </row>
    <row r="1181" spans="1:7">
      <c r="A1181" s="486"/>
      <c r="C1181" s="404"/>
      <c r="D1181" s="315"/>
      <c r="E1181" s="315"/>
      <c r="F1181" s="315"/>
      <c r="G1181" s="315">
        <f>SUM(D1181:F1181)</f>
        <v>0</v>
      </c>
    </row>
    <row r="1182" spans="1:7">
      <c r="A1182" s="486"/>
      <c r="C1182" s="172" t="s">
        <v>464</v>
      </c>
      <c r="D1182" s="287">
        <v>13507</v>
      </c>
      <c r="E1182" s="287"/>
      <c r="F1182" s="287"/>
      <c r="G1182" s="287">
        <f>SUM(D1182:F1182)</f>
        <v>13507</v>
      </c>
    </row>
    <row r="1183" spans="1:7">
      <c r="A1183" s="486"/>
      <c r="C1183" s="413"/>
      <c r="D1183" s="348"/>
      <c r="E1183" s="348"/>
      <c r="F1183" s="348"/>
      <c r="G1183" s="348">
        <f>SUM(D1183:F1183)</f>
        <v>0</v>
      </c>
    </row>
    <row r="1184" spans="1:7" ht="25.5">
      <c r="A1184" s="486" t="s">
        <v>776</v>
      </c>
      <c r="B1184" s="5" t="s">
        <v>352</v>
      </c>
      <c r="C1184" s="227" t="s">
        <v>822</v>
      </c>
      <c r="D1184" s="290">
        <f>177361-21000</f>
        <v>156361</v>
      </c>
      <c r="E1184" s="290"/>
      <c r="F1184" s="290"/>
      <c r="G1184" s="290">
        <f>SUM(D1184:F1184)</f>
        <v>156361</v>
      </c>
    </row>
    <row r="1185" spans="1:7">
      <c r="A1185" s="486"/>
      <c r="C1185" s="171" t="s">
        <v>121</v>
      </c>
      <c r="D1185" s="281">
        <v>44766</v>
      </c>
      <c r="E1185" s="281"/>
      <c r="F1185" s="281"/>
      <c r="G1185" s="281">
        <f>SUM(D1185:F1185)</f>
        <v>44766</v>
      </c>
    </row>
    <row r="1186" spans="1:7">
      <c r="A1186" s="486"/>
      <c r="C1186" s="404"/>
      <c r="D1186" s="315"/>
      <c r="E1186" s="315"/>
      <c r="F1186" s="315"/>
      <c r="G1186" s="315">
        <f>SUM(D1186:F1186)</f>
        <v>0</v>
      </c>
    </row>
    <row r="1187" spans="1:7">
      <c r="A1187" s="486"/>
      <c r="C1187" s="172" t="s">
        <v>464</v>
      </c>
      <c r="D1187" s="287">
        <f>166521-17850</f>
        <v>148671</v>
      </c>
      <c r="E1187" s="287"/>
      <c r="F1187" s="287"/>
      <c r="G1187" s="287">
        <f>SUM(D1187:F1187)</f>
        <v>148671</v>
      </c>
    </row>
    <row r="1188" spans="1:7">
      <c r="A1188" s="486"/>
      <c r="C1188" s="172"/>
      <c r="D1188" s="287"/>
      <c r="E1188" s="287"/>
      <c r="F1188" s="287"/>
      <c r="G1188" s="287">
        <f>SUM(D1188:F1188)</f>
        <v>0</v>
      </c>
    </row>
    <row r="1189" spans="1:7" ht="38.25">
      <c r="A1189" s="486" t="s">
        <v>776</v>
      </c>
      <c r="B1189" s="5" t="s">
        <v>352</v>
      </c>
      <c r="C1189" s="227" t="s">
        <v>823</v>
      </c>
      <c r="D1189" s="290">
        <v>66881</v>
      </c>
      <c r="E1189" s="290"/>
      <c r="F1189" s="290"/>
      <c r="G1189" s="290">
        <f>SUM(D1189:F1189)</f>
        <v>66881</v>
      </c>
    </row>
    <row r="1190" spans="1:7" ht="12.6" customHeight="1">
      <c r="A1190" s="486"/>
      <c r="C1190" s="171" t="s">
        <v>121</v>
      </c>
      <c r="D1190" s="281">
        <v>20428</v>
      </c>
      <c r="E1190" s="281"/>
      <c r="F1190" s="281"/>
      <c r="G1190" s="281">
        <f>SUM(D1190:F1190)</f>
        <v>20428</v>
      </c>
    </row>
    <row r="1191" spans="1:7">
      <c r="A1191" s="486"/>
      <c r="C1191" s="404"/>
      <c r="D1191" s="315"/>
      <c r="E1191" s="315"/>
      <c r="F1191" s="315"/>
      <c r="G1191" s="315">
        <f>SUM(D1191:F1191)</f>
        <v>0</v>
      </c>
    </row>
    <row r="1192" spans="1:7">
      <c r="A1192" s="486"/>
      <c r="C1192" s="172" t="s">
        <v>464</v>
      </c>
      <c r="D1192" s="287">
        <v>56849</v>
      </c>
      <c r="E1192" s="287"/>
      <c r="F1192" s="287"/>
      <c r="G1192" s="287">
        <f>SUM(D1192:F1192)</f>
        <v>56849</v>
      </c>
    </row>
    <row r="1193" spans="1:7">
      <c r="A1193" s="486"/>
      <c r="C1193" s="172"/>
      <c r="D1193" s="287"/>
      <c r="E1193" s="287"/>
      <c r="F1193" s="287"/>
      <c r="G1193" s="287">
        <f>SUM(D1193:F1193)</f>
        <v>0</v>
      </c>
    </row>
    <row r="1194" spans="1:7" ht="38.25">
      <c r="A1194" s="486" t="s">
        <v>776</v>
      </c>
      <c r="B1194" s="5" t="s">
        <v>352</v>
      </c>
      <c r="C1194" s="227" t="s">
        <v>1026</v>
      </c>
      <c r="D1194" s="287"/>
      <c r="E1194" s="287"/>
      <c r="F1194" s="541">
        <f>107382+68660</f>
        <v>176042</v>
      </c>
      <c r="G1194" s="287">
        <f>SUM(D1194:F1194)</f>
        <v>176042</v>
      </c>
    </row>
    <row r="1195" spans="1:7">
      <c r="A1195" s="486"/>
      <c r="C1195" s="171" t="s">
        <v>121</v>
      </c>
      <c r="D1195" s="287"/>
      <c r="E1195" s="287"/>
      <c r="F1195" s="542">
        <v>60000</v>
      </c>
      <c r="G1195" s="287">
        <f>SUM(D1195:F1195)</f>
        <v>60000</v>
      </c>
    </row>
    <row r="1196" spans="1:7">
      <c r="A1196" s="486"/>
      <c r="C1196" s="404"/>
      <c r="D1196" s="287"/>
      <c r="E1196" s="287"/>
      <c r="F1196" s="543"/>
      <c r="G1196" s="287">
        <f>SUM(D1196:F1196)</f>
        <v>0</v>
      </c>
    </row>
    <row r="1197" spans="1:7">
      <c r="A1197" s="486"/>
      <c r="C1197" s="172" t="s">
        <v>464</v>
      </c>
      <c r="D1197" s="287"/>
      <c r="E1197" s="287"/>
      <c r="F1197" s="544">
        <f>90630+68660</f>
        <v>159290</v>
      </c>
      <c r="G1197" s="287">
        <f>SUM(D1197:F1197)</f>
        <v>159290</v>
      </c>
    </row>
    <row r="1198" spans="1:7">
      <c r="A1198" s="486"/>
      <c r="D1198" s="287"/>
      <c r="E1198" s="287"/>
      <c r="F1198" s="628"/>
      <c r="G1198" s="287">
        <f>SUM(D1198:F1198)</f>
        <v>0</v>
      </c>
    </row>
    <row r="1199" spans="1:7" ht="25.5">
      <c r="A1199" s="486" t="s">
        <v>776</v>
      </c>
      <c r="B1199" s="5" t="s">
        <v>352</v>
      </c>
      <c r="C1199" s="227" t="s">
        <v>1027</v>
      </c>
      <c r="D1199" s="287"/>
      <c r="E1199" s="287"/>
      <c r="F1199" s="541">
        <v>20000</v>
      </c>
      <c r="G1199" s="287">
        <f>SUM(D1199:F1199)</f>
        <v>20000</v>
      </c>
    </row>
    <row r="1200" spans="1:7">
      <c r="A1200" s="486"/>
      <c r="C1200" s="171" t="s">
        <v>121</v>
      </c>
      <c r="D1200" s="287"/>
      <c r="E1200" s="287"/>
      <c r="F1200" s="542">
        <v>1700</v>
      </c>
      <c r="G1200" s="287">
        <f>SUM(D1200:F1200)</f>
        <v>1700</v>
      </c>
    </row>
    <row r="1201" spans="1:26">
      <c r="A1201" s="486"/>
      <c r="C1201" s="404"/>
      <c r="D1201" s="287"/>
      <c r="E1201" s="287"/>
      <c r="F1201" s="543"/>
      <c r="G1201" s="287">
        <f>SUM(D1201:F1201)</f>
        <v>0</v>
      </c>
    </row>
    <row r="1202" spans="1:26">
      <c r="A1202" s="486"/>
      <c r="C1202" s="172" t="s">
        <v>464</v>
      </c>
      <c r="D1202" s="287"/>
      <c r="E1202" s="287"/>
      <c r="F1202" s="544">
        <v>12000</v>
      </c>
      <c r="G1202" s="287">
        <f>SUM(D1202:F1202)</f>
        <v>12000</v>
      </c>
    </row>
    <row r="1203" spans="1:26">
      <c r="A1203" s="486"/>
      <c r="C1203" s="172"/>
      <c r="D1203" s="287"/>
      <c r="E1203" s="287"/>
      <c r="F1203" s="287"/>
      <c r="G1203" s="287">
        <f>SUM(D1203:F1203)</f>
        <v>0</v>
      </c>
    </row>
    <row r="1204" spans="1:26">
      <c r="A1204" s="486"/>
      <c r="C1204" s="193"/>
      <c r="D1204" s="282"/>
      <c r="E1204" s="282"/>
      <c r="F1204" s="282"/>
      <c r="G1204" s="282">
        <f>SUM(D1204:F1204)</f>
        <v>0</v>
      </c>
    </row>
    <row r="1205" spans="1:26">
      <c r="A1205" s="486"/>
      <c r="C1205" s="142"/>
      <c r="D1205" s="306"/>
      <c r="E1205" s="306"/>
      <c r="F1205" s="306"/>
      <c r="G1205" s="306">
        <f>SUM(D1205:F1205)</f>
        <v>0</v>
      </c>
    </row>
    <row r="1206" spans="1:26" ht="15.75">
      <c r="A1206" s="486"/>
      <c r="C1206" s="234" t="s">
        <v>110</v>
      </c>
      <c r="D1206" s="284"/>
      <c r="E1206" s="284"/>
      <c r="F1206" s="284"/>
      <c r="G1206" s="284">
        <f>SUM(D1206:F1206)</f>
        <v>0</v>
      </c>
    </row>
    <row r="1207" spans="1:26">
      <c r="A1207" s="486"/>
      <c r="C1207" s="198"/>
      <c r="D1207" s="210"/>
      <c r="E1207" s="210"/>
      <c r="F1207" s="210"/>
      <c r="G1207" s="210">
        <f>SUM(D1207:F1207)</f>
        <v>0</v>
      </c>
    </row>
    <row r="1208" spans="1:26">
      <c r="A1208" s="486"/>
      <c r="C1208" s="186" t="s">
        <v>240</v>
      </c>
      <c r="D1208" s="277">
        <f>SUM(D1216,D1219,D1221,D1223,D1225,D1229,D1231)</f>
        <v>5579047</v>
      </c>
      <c r="E1208" s="277">
        <f>SUM(E1216,E1219,E1221,E1223,E1225,E1229,E1231)</f>
        <v>114641</v>
      </c>
      <c r="F1208" s="277">
        <f>SUM(F1216,F1219,F1221,F1223,F1225,F1229,F1231,F1236)</f>
        <v>30689</v>
      </c>
      <c r="G1208" s="277">
        <f>SUM(D1208:F1208)</f>
        <v>5724377</v>
      </c>
    </row>
    <row r="1209" spans="1:26">
      <c r="A1209" s="486"/>
      <c r="C1209" s="187" t="s">
        <v>825</v>
      </c>
      <c r="D1209" s="278">
        <v>89000</v>
      </c>
      <c r="E1209" s="278"/>
      <c r="F1209" s="278"/>
      <c r="G1209" s="278">
        <f>SUM(D1209:F1209)</f>
        <v>89000</v>
      </c>
    </row>
    <row r="1210" spans="1:26">
      <c r="A1210" s="486"/>
      <c r="C1210" s="197" t="s">
        <v>118</v>
      </c>
      <c r="D1210" s="279">
        <f>SUM(D1211:D1213)</f>
        <v>5579047</v>
      </c>
      <c r="E1210" s="279">
        <f>SUM(E1211:E1213)</f>
        <v>114641</v>
      </c>
      <c r="F1210" s="279">
        <f>SUM(F1211:F1213)</f>
        <v>30689</v>
      </c>
      <c r="G1210" s="279">
        <f>SUM(D1210:F1210)</f>
        <v>5724377</v>
      </c>
    </row>
    <row r="1211" spans="1:26">
      <c r="A1211" s="486"/>
      <c r="C1211" s="189" t="s">
        <v>119</v>
      </c>
      <c r="D1211" s="278">
        <f>'[3]2.2 OMATULUD'!B471</f>
        <v>9600</v>
      </c>
      <c r="E1211" s="278"/>
      <c r="F1211" s="278"/>
      <c r="G1211" s="278">
        <f>SUM(D1211:F1211)</f>
        <v>9600</v>
      </c>
    </row>
    <row r="1212" spans="1:26">
      <c r="A1212" s="486"/>
      <c r="C1212" s="173" t="s">
        <v>106</v>
      </c>
      <c r="D1212" s="278">
        <f>D1234</f>
        <v>72588</v>
      </c>
      <c r="E1212" s="278"/>
      <c r="F1212" s="278">
        <f>F1234+F1239</f>
        <v>38086</v>
      </c>
      <c r="G1212" s="278">
        <f>SUM(D1212:F1212)</f>
        <v>110674</v>
      </c>
    </row>
    <row r="1213" spans="1:26">
      <c r="A1213" s="486"/>
      <c r="C1213" s="173" t="s">
        <v>120</v>
      </c>
      <c r="D1213" s="278">
        <f>D1208-D1211-D1212</f>
        <v>5496859</v>
      </c>
      <c r="E1213" s="278">
        <f>E1208-E1211-E1212</f>
        <v>114641</v>
      </c>
      <c r="F1213" s="278">
        <f>F1208-F1211-F1212</f>
        <v>-7397</v>
      </c>
      <c r="G1213" s="278">
        <f>SUM(D1213:F1213)</f>
        <v>5604103</v>
      </c>
    </row>
    <row r="1214" spans="1:26" s="493" customFormat="1">
      <c r="C1214" s="603" t="s">
        <v>884</v>
      </c>
      <c r="D1214" s="494">
        <f>D1217+D1232</f>
        <v>2251020</v>
      </c>
      <c r="E1214" s="494">
        <f t="shared" ref="E1214" si="49">E1217+E1232</f>
        <v>85681</v>
      </c>
      <c r="F1214" s="494">
        <f>F1217+F1232+F1237</f>
        <v>17796</v>
      </c>
      <c r="G1214" s="494">
        <f>SUM(D1214:F1214)</f>
        <v>2354497</v>
      </c>
      <c r="H1214" s="495"/>
      <c r="I1214" s="495"/>
      <c r="J1214" s="495"/>
      <c r="K1214" s="495"/>
      <c r="L1214" s="495"/>
      <c r="M1214" s="604"/>
      <c r="O1214" s="495"/>
      <c r="P1214" s="495"/>
      <c r="Q1214" s="495"/>
      <c r="R1214" s="604"/>
      <c r="T1214" s="495"/>
      <c r="U1214" s="495"/>
      <c r="V1214" s="495"/>
      <c r="W1214" s="604"/>
      <c r="Z1214" s="103"/>
    </row>
    <row r="1215" spans="1:26">
      <c r="A1215" s="486"/>
      <c r="C1215" s="198"/>
      <c r="D1215" s="210"/>
      <c r="E1215" s="210"/>
      <c r="F1215" s="210"/>
      <c r="G1215" s="210">
        <f>SUM(D1215:F1215)</f>
        <v>0</v>
      </c>
    </row>
    <row r="1216" spans="1:26">
      <c r="A1216" s="486" t="s">
        <v>677</v>
      </c>
      <c r="B1216" s="5" t="s">
        <v>882</v>
      </c>
      <c r="C1216" s="216" t="s">
        <v>110</v>
      </c>
      <c r="D1216" s="280">
        <f>3117024-24</f>
        <v>3117000</v>
      </c>
      <c r="E1216" s="280">
        <v>114641</v>
      </c>
      <c r="F1216" s="280">
        <f>-14117+12443</f>
        <v>-1674</v>
      </c>
      <c r="G1216" s="280">
        <f>SUM(D1216:F1216)</f>
        <v>3229967</v>
      </c>
    </row>
    <row r="1217" spans="1:7">
      <c r="A1217" s="486"/>
      <c r="C1217" s="171" t="s">
        <v>121</v>
      </c>
      <c r="D1217" s="281">
        <v>2218476</v>
      </c>
      <c r="E1217" s="281">
        <v>85681</v>
      </c>
      <c r="F1217" s="281">
        <f>-10551+9300</f>
        <v>-1251</v>
      </c>
      <c r="G1217" s="281">
        <f>SUM(D1217:F1217)</f>
        <v>2302906</v>
      </c>
    </row>
    <row r="1218" spans="1:7">
      <c r="A1218" s="486"/>
      <c r="C1218" s="171"/>
      <c r="D1218" s="281"/>
      <c r="E1218" s="281"/>
      <c r="F1218" s="281"/>
      <c r="G1218" s="281">
        <f>SUM(D1218:F1218)</f>
        <v>0</v>
      </c>
    </row>
    <row r="1219" spans="1:7">
      <c r="A1219" s="486" t="s">
        <v>677</v>
      </c>
      <c r="B1219" s="5" t="s">
        <v>882</v>
      </c>
      <c r="C1219" s="216" t="s">
        <v>627</v>
      </c>
      <c r="D1219" s="280">
        <v>447400</v>
      </c>
      <c r="E1219" s="280"/>
      <c r="F1219" s="280"/>
      <c r="G1219" s="280">
        <f>SUM(D1219:F1219)</f>
        <v>447400</v>
      </c>
    </row>
    <row r="1220" spans="1:7">
      <c r="A1220" s="486"/>
      <c r="C1220" s="216"/>
      <c r="D1220" s="280"/>
      <c r="E1220" s="280"/>
      <c r="F1220" s="280"/>
      <c r="G1220" s="280">
        <f>SUM(D1220:F1220)</f>
        <v>0</v>
      </c>
    </row>
    <row r="1221" spans="1:7">
      <c r="A1221" s="486" t="s">
        <v>677</v>
      </c>
      <c r="B1221" s="5" t="s">
        <v>882</v>
      </c>
      <c r="C1221" s="216" t="s">
        <v>628</v>
      </c>
      <c r="D1221" s="280">
        <f>420000+100000</f>
        <v>520000</v>
      </c>
      <c r="E1221" s="280"/>
      <c r="F1221" s="280">
        <v>-12443</v>
      </c>
      <c r="G1221" s="280">
        <f>SUM(D1221:F1221)</f>
        <v>507557</v>
      </c>
    </row>
    <row r="1222" spans="1:7">
      <c r="A1222" s="486"/>
      <c r="C1222" s="229"/>
      <c r="D1222" s="277"/>
      <c r="E1222" s="277"/>
      <c r="F1222" s="277"/>
      <c r="G1222" s="277">
        <f>SUM(D1222:F1222)</f>
        <v>0</v>
      </c>
    </row>
    <row r="1223" spans="1:7">
      <c r="A1223" s="486" t="s">
        <v>671</v>
      </c>
      <c r="B1223" s="5" t="s">
        <v>882</v>
      </c>
      <c r="C1223" s="193" t="s">
        <v>629</v>
      </c>
      <c r="D1223" s="282">
        <v>206260</v>
      </c>
      <c r="E1223" s="282"/>
      <c r="F1223" s="282"/>
      <c r="G1223" s="282">
        <f>SUM(D1223:F1223)</f>
        <v>206260</v>
      </c>
    </row>
    <row r="1224" spans="1:7">
      <c r="A1224" s="486"/>
      <c r="C1224" s="193"/>
      <c r="D1224" s="282"/>
      <c r="E1224" s="282"/>
      <c r="F1224" s="282"/>
      <c r="G1224" s="282">
        <f>SUM(D1224:F1224)</f>
        <v>0</v>
      </c>
    </row>
    <row r="1225" spans="1:7">
      <c r="A1225" s="486" t="s">
        <v>671</v>
      </c>
      <c r="B1225" s="5" t="s">
        <v>882</v>
      </c>
      <c r="C1225" s="239" t="s">
        <v>1028</v>
      </c>
      <c r="D1225" s="286">
        <f>SUM(D1226:D1227)</f>
        <v>100000</v>
      </c>
      <c r="E1225" s="286"/>
      <c r="F1225" s="286"/>
      <c r="G1225" s="286">
        <f>SUM(D1225:F1225)</f>
        <v>100000</v>
      </c>
    </row>
    <row r="1226" spans="1:7" s="96" customFormat="1">
      <c r="A1226" s="486"/>
      <c r="B1226" s="5"/>
      <c r="C1226" s="192" t="s">
        <v>1029</v>
      </c>
      <c r="D1226" s="289">
        <v>50000</v>
      </c>
      <c r="E1226" s="289"/>
      <c r="F1226" s="289"/>
      <c r="G1226" s="289">
        <f>SUM(D1226:F1226)</f>
        <v>50000</v>
      </c>
    </row>
    <row r="1227" spans="1:7" s="96" customFormat="1">
      <c r="A1227" s="486"/>
      <c r="B1227" s="5"/>
      <c r="C1227" s="192" t="s">
        <v>1030</v>
      </c>
      <c r="D1227" s="289">
        <v>50000</v>
      </c>
      <c r="E1227" s="289"/>
      <c r="F1227" s="289"/>
      <c r="G1227" s="289">
        <f>SUM(D1227:F1227)</f>
        <v>50000</v>
      </c>
    </row>
    <row r="1228" spans="1:7" s="96" customFormat="1">
      <c r="A1228" s="486"/>
      <c r="B1228" s="5"/>
      <c r="C1228" s="239"/>
      <c r="D1228" s="286"/>
      <c r="E1228" s="286"/>
      <c r="F1228" s="286"/>
      <c r="G1228" s="286">
        <f>SUM(D1228:F1228)</f>
        <v>0</v>
      </c>
    </row>
    <row r="1229" spans="1:7" s="96" customFormat="1">
      <c r="A1229" s="486" t="s">
        <v>671</v>
      </c>
      <c r="B1229" s="5" t="s">
        <v>882</v>
      </c>
      <c r="C1229" s="239" t="s">
        <v>1031</v>
      </c>
      <c r="D1229" s="286">
        <v>1100000</v>
      </c>
      <c r="E1229" s="286"/>
      <c r="F1229" s="286"/>
      <c r="G1229" s="286">
        <f>SUM(D1229:F1229)</f>
        <v>1100000</v>
      </c>
    </row>
    <row r="1230" spans="1:7" s="96" customFormat="1">
      <c r="A1230" s="486"/>
      <c r="B1230" s="5"/>
      <c r="C1230" s="239"/>
      <c r="D1230" s="286"/>
      <c r="E1230" s="286"/>
      <c r="F1230" s="286"/>
      <c r="G1230" s="286">
        <f>SUM(D1230:F1230)</f>
        <v>0</v>
      </c>
    </row>
    <row r="1231" spans="1:7" s="96" customFormat="1" ht="25.5">
      <c r="A1231" s="486" t="s">
        <v>677</v>
      </c>
      <c r="B1231" s="5" t="s">
        <v>882</v>
      </c>
      <c r="C1231" s="239" t="s">
        <v>813</v>
      </c>
      <c r="D1231" s="286">
        <v>88387</v>
      </c>
      <c r="E1231" s="286"/>
      <c r="F1231" s="286"/>
      <c r="G1231" s="286">
        <f>SUM(D1231:F1231)</f>
        <v>88387</v>
      </c>
    </row>
    <row r="1232" spans="1:7" s="96" customFormat="1">
      <c r="A1232" s="486"/>
      <c r="B1232" s="5"/>
      <c r="C1232" s="171" t="s">
        <v>121</v>
      </c>
      <c r="D1232" s="281">
        <v>32544</v>
      </c>
      <c r="E1232" s="281"/>
      <c r="F1232" s="281"/>
      <c r="G1232" s="281">
        <f>SUM(D1232:F1232)</f>
        <v>32544</v>
      </c>
    </row>
    <row r="1233" spans="1:7" s="96" customFormat="1">
      <c r="A1233" s="486"/>
      <c r="B1233" s="5"/>
      <c r="C1233" s="5"/>
      <c r="D1233" s="10"/>
      <c r="E1233" s="10"/>
      <c r="F1233" s="10"/>
      <c r="G1233" s="10">
        <f>SUM(D1233:F1233)</f>
        <v>0</v>
      </c>
    </row>
    <row r="1234" spans="1:7" s="96" customFormat="1">
      <c r="A1234" s="486"/>
      <c r="B1234" s="5"/>
      <c r="C1234" s="171" t="s">
        <v>464</v>
      </c>
      <c r="D1234" s="281">
        <v>72588</v>
      </c>
      <c r="E1234" s="281"/>
      <c r="F1234" s="281"/>
      <c r="G1234" s="281">
        <f>SUM(D1234:F1234)</f>
        <v>72588</v>
      </c>
    </row>
    <row r="1235" spans="1:7" s="96" customFormat="1">
      <c r="A1235" s="486"/>
      <c r="B1235" s="5"/>
      <c r="C1235" s="171"/>
      <c r="D1235" s="281"/>
      <c r="E1235" s="281"/>
      <c r="F1235" s="281"/>
      <c r="G1235" s="281">
        <f>SUM(D1235:F1235)</f>
        <v>0</v>
      </c>
    </row>
    <row r="1236" spans="1:7" s="96" customFormat="1" ht="25.5">
      <c r="A1236" s="486" t="s">
        <v>677</v>
      </c>
      <c r="B1236" s="5" t="s">
        <v>882</v>
      </c>
      <c r="C1236" s="239" t="s">
        <v>1032</v>
      </c>
      <c r="D1236" s="281"/>
      <c r="E1236" s="281"/>
      <c r="F1236" s="546">
        <v>44806</v>
      </c>
      <c r="G1236" s="281">
        <f>SUM(D1236:F1236)</f>
        <v>44806</v>
      </c>
    </row>
    <row r="1237" spans="1:7" s="96" customFormat="1">
      <c r="A1237" s="486"/>
      <c r="B1237" s="5"/>
      <c r="C1237" s="171" t="s">
        <v>121</v>
      </c>
      <c r="D1237" s="281"/>
      <c r="E1237" s="281"/>
      <c r="F1237" s="542">
        <v>19047</v>
      </c>
      <c r="G1237" s="281">
        <f>SUM(D1237:F1237)</f>
        <v>19047</v>
      </c>
    </row>
    <row r="1238" spans="1:7" s="96" customFormat="1">
      <c r="A1238" s="486"/>
      <c r="B1238" s="5"/>
      <c r="C1238" s="5"/>
      <c r="D1238" s="281"/>
      <c r="E1238" s="281"/>
      <c r="F1238" s="547"/>
      <c r="G1238" s="281">
        <f>SUM(D1238:F1238)</f>
        <v>0</v>
      </c>
    </row>
    <row r="1239" spans="1:7" s="96" customFormat="1">
      <c r="A1239" s="486"/>
      <c r="B1239" s="5"/>
      <c r="C1239" s="171" t="s">
        <v>464</v>
      </c>
      <c r="D1239" s="281"/>
      <c r="E1239" s="281"/>
      <c r="F1239" s="542">
        <v>38086</v>
      </c>
      <c r="G1239" s="281">
        <f>SUM(D1239:F1239)</f>
        <v>38086</v>
      </c>
    </row>
    <row r="1240" spans="1:7" s="96" customFormat="1">
      <c r="A1240" s="486"/>
      <c r="B1240" s="5"/>
      <c r="C1240" s="171"/>
      <c r="D1240" s="281"/>
      <c r="E1240" s="281"/>
      <c r="F1240" s="281"/>
      <c r="G1240" s="281">
        <f>SUM(D1240:F1240)</f>
        <v>0</v>
      </c>
    </row>
    <row r="1241" spans="1:7">
      <c r="A1241" s="486"/>
      <c r="C1241" s="477"/>
      <c r="D1241" s="478"/>
      <c r="E1241" s="478"/>
      <c r="F1241" s="478"/>
      <c r="G1241" s="478">
        <f>SUM(D1241:F1241)</f>
        <v>0</v>
      </c>
    </row>
    <row r="1242" spans="1:7">
      <c r="A1242" s="486"/>
      <c r="C1242" s="142"/>
      <c r="D1242" s="306"/>
      <c r="E1242" s="306"/>
      <c r="F1242" s="306"/>
      <c r="G1242" s="306">
        <f>SUM(D1242:F1242)</f>
        <v>0</v>
      </c>
    </row>
    <row r="1243" spans="1:7" ht="15.75">
      <c r="A1243" s="486"/>
      <c r="C1243" s="184" t="s">
        <v>114</v>
      </c>
      <c r="D1243" s="276"/>
      <c r="E1243" s="276"/>
      <c r="F1243" s="276"/>
      <c r="G1243" s="276">
        <f>SUM(D1243:F1243)</f>
        <v>0</v>
      </c>
    </row>
    <row r="1244" spans="1:7">
      <c r="A1244" s="486"/>
      <c r="C1244" s="186"/>
      <c r="D1244" s="277"/>
      <c r="E1244" s="277"/>
      <c r="F1244" s="277"/>
      <c r="G1244" s="277">
        <f>SUM(D1244:F1244)</f>
        <v>0</v>
      </c>
    </row>
    <row r="1245" spans="1:7">
      <c r="A1245" s="486"/>
      <c r="C1245" s="186" t="s">
        <v>240</v>
      </c>
      <c r="D1245" s="277">
        <f>SUM(D1251,D1254,D1256,D1258)</f>
        <v>3452503</v>
      </c>
      <c r="E1245" s="277">
        <f>SUM(E1251,E1254,E1256,E1258)</f>
        <v>103838</v>
      </c>
      <c r="F1245" s="277">
        <f>SUM(F1251,F1254,F1256,F1258)</f>
        <v>80727</v>
      </c>
      <c r="G1245" s="277">
        <f>SUM(D1245:F1245)</f>
        <v>3637068</v>
      </c>
    </row>
    <row r="1246" spans="1:7">
      <c r="A1246" s="486"/>
      <c r="C1246" s="189" t="s">
        <v>825</v>
      </c>
      <c r="D1246" s="278">
        <v>300</v>
      </c>
      <c r="E1246" s="278"/>
      <c r="F1246" s="278"/>
      <c r="G1246" s="278">
        <f>SUM(D1246:F1246)</f>
        <v>300</v>
      </c>
    </row>
    <row r="1247" spans="1:7">
      <c r="A1247" s="486"/>
      <c r="C1247" s="197" t="s">
        <v>118</v>
      </c>
      <c r="D1247" s="279">
        <f>SUM(D1248)</f>
        <v>3452503</v>
      </c>
      <c r="E1247" s="279">
        <f>SUM(E1248)</f>
        <v>103838</v>
      </c>
      <c r="F1247" s="279">
        <f>SUM(F1248)</f>
        <v>80727</v>
      </c>
      <c r="G1247" s="279">
        <f>SUM(D1247:F1247)</f>
        <v>3637068</v>
      </c>
    </row>
    <row r="1248" spans="1:7">
      <c r="A1248" s="486"/>
      <c r="C1248" s="173" t="s">
        <v>120</v>
      </c>
      <c r="D1248" s="278">
        <f>D1245</f>
        <v>3452503</v>
      </c>
      <c r="E1248" s="278">
        <f>E1245</f>
        <v>103838</v>
      </c>
      <c r="F1248" s="278">
        <f>F1245</f>
        <v>80727</v>
      </c>
      <c r="G1248" s="278">
        <f>SUM(D1248:F1248)</f>
        <v>3637068</v>
      </c>
    </row>
    <row r="1249" spans="1:26" s="493" customFormat="1">
      <c r="C1249" s="603" t="s">
        <v>884</v>
      </c>
      <c r="D1249" s="494">
        <f>D1252</f>
        <v>1788870</v>
      </c>
      <c r="E1249" s="494">
        <f t="shared" ref="E1249" si="50">E1252</f>
        <v>77607</v>
      </c>
      <c r="F1249" s="494">
        <f>F1252</f>
        <v>40220</v>
      </c>
      <c r="G1249" s="494">
        <f>SUM(D1249:F1249)</f>
        <v>1906697</v>
      </c>
      <c r="H1249" s="495"/>
      <c r="I1249" s="495"/>
      <c r="J1249" s="495"/>
      <c r="K1249" s="495"/>
      <c r="L1249" s="495"/>
      <c r="M1249" s="604"/>
      <c r="O1249" s="495"/>
      <c r="P1249" s="495"/>
      <c r="Q1249" s="495"/>
      <c r="R1249" s="604"/>
      <c r="T1249" s="495"/>
      <c r="U1249" s="495"/>
      <c r="V1249" s="495"/>
      <c r="W1249" s="604"/>
      <c r="Z1249" s="103"/>
    </row>
    <row r="1250" spans="1:26">
      <c r="A1250" s="486"/>
      <c r="C1250" s="198"/>
      <c r="D1250" s="210"/>
      <c r="E1250" s="210"/>
      <c r="F1250" s="210"/>
      <c r="G1250" s="210">
        <f>SUM(D1250:F1250)</f>
        <v>0</v>
      </c>
    </row>
    <row r="1251" spans="1:26">
      <c r="A1251" s="486" t="s">
        <v>838</v>
      </c>
      <c r="B1251" s="3" t="s">
        <v>874</v>
      </c>
      <c r="C1251" s="227" t="s">
        <v>114</v>
      </c>
      <c r="D1251" s="290">
        <f>3101960-74690</f>
        <v>3027270</v>
      </c>
      <c r="E1251" s="290">
        <v>103838</v>
      </c>
      <c r="F1251" s="541">
        <f>49165+29055-7573</f>
        <v>70647</v>
      </c>
      <c r="G1251" s="290">
        <f>SUM(D1251:F1251)</f>
        <v>3201755</v>
      </c>
    </row>
    <row r="1252" spans="1:26">
      <c r="A1252" s="486"/>
      <c r="C1252" s="171" t="s">
        <v>121</v>
      </c>
      <c r="D1252" s="281">
        <f>1844218-55348</f>
        <v>1788870</v>
      </c>
      <c r="E1252" s="281">
        <v>77607</v>
      </c>
      <c r="F1252" s="542">
        <f>36745+9135-5660</f>
        <v>40220</v>
      </c>
      <c r="G1252" s="281">
        <f>SUM(D1252:F1252)</f>
        <v>1906697</v>
      </c>
    </row>
    <row r="1253" spans="1:26" s="96" customFormat="1">
      <c r="A1253" s="486"/>
      <c r="B1253" s="5"/>
      <c r="C1253" s="147"/>
      <c r="D1253" s="327"/>
      <c r="E1253" s="327"/>
      <c r="F1253" s="327"/>
      <c r="G1253" s="327">
        <f>SUM(D1253:F1253)</f>
        <v>0</v>
      </c>
    </row>
    <row r="1254" spans="1:26">
      <c r="A1254" s="486" t="s">
        <v>838</v>
      </c>
      <c r="B1254" s="3" t="s">
        <v>874</v>
      </c>
      <c r="C1254" s="216" t="s">
        <v>630</v>
      </c>
      <c r="D1254" s="280">
        <v>7000</v>
      </c>
      <c r="E1254" s="280"/>
      <c r="F1254" s="280"/>
      <c r="G1254" s="280">
        <f>SUM(D1254:F1254)</f>
        <v>7000</v>
      </c>
    </row>
    <row r="1255" spans="1:26">
      <c r="A1255" s="486"/>
      <c r="C1255" s="382"/>
      <c r="D1255" s="300"/>
      <c r="E1255" s="300"/>
      <c r="F1255" s="300"/>
      <c r="G1255" s="300">
        <f>SUM(D1255:F1255)</f>
        <v>0</v>
      </c>
    </row>
    <row r="1256" spans="1:26" ht="25.5">
      <c r="A1256" s="486" t="s">
        <v>838</v>
      </c>
      <c r="B1256" s="3" t="s">
        <v>874</v>
      </c>
      <c r="C1256" s="227" t="s">
        <v>595</v>
      </c>
      <c r="D1256" s="290">
        <v>187608</v>
      </c>
      <c r="E1256" s="290"/>
      <c r="F1256" s="290"/>
      <c r="G1256" s="290">
        <f>SUM(D1256:F1256)</f>
        <v>187608</v>
      </c>
    </row>
    <row r="1257" spans="1:26">
      <c r="A1257" s="486"/>
      <c r="C1257" s="232"/>
      <c r="D1257" s="278"/>
      <c r="E1257" s="278"/>
      <c r="F1257" s="278"/>
      <c r="G1257" s="278">
        <f>SUM(D1257:F1257)</f>
        <v>0</v>
      </c>
    </row>
    <row r="1258" spans="1:26">
      <c r="A1258" s="486" t="s">
        <v>838</v>
      </c>
      <c r="B1258" s="3" t="s">
        <v>874</v>
      </c>
      <c r="C1258" s="227" t="s">
        <v>596</v>
      </c>
      <c r="D1258" s="290">
        <v>230625</v>
      </c>
      <c r="E1258" s="290"/>
      <c r="F1258" s="290">
        <v>10080</v>
      </c>
      <c r="G1258" s="290">
        <f>SUM(D1258:F1258)</f>
        <v>240705</v>
      </c>
    </row>
    <row r="1259" spans="1:26">
      <c r="A1259" s="486"/>
      <c r="C1259" s="216"/>
      <c r="D1259" s="280"/>
      <c r="E1259" s="280"/>
      <c r="G1259" s="280">
        <f>SUM(D1259:F1259)</f>
        <v>0</v>
      </c>
    </row>
    <row r="1260" spans="1:26" s="96" customFormat="1">
      <c r="A1260" s="486"/>
      <c r="C1260" s="474"/>
      <c r="D1260" s="481"/>
      <c r="E1260" s="481"/>
      <c r="G1260" s="481">
        <f>SUM(D1260:F1260)</f>
        <v>0</v>
      </c>
    </row>
    <row r="1261" spans="1:26" s="96" customFormat="1" ht="15.75">
      <c r="A1261" s="486"/>
      <c r="C1261" s="184" t="s">
        <v>353</v>
      </c>
      <c r="D1261" s="276"/>
      <c r="E1261" s="276"/>
      <c r="G1261" s="276">
        <f>SUM(D1261:F1261)</f>
        <v>0</v>
      </c>
    </row>
    <row r="1262" spans="1:26" s="96" customFormat="1">
      <c r="A1262" s="486"/>
      <c r="C1262" s="198"/>
      <c r="D1262" s="210"/>
      <c r="E1262" s="210"/>
      <c r="G1262" s="210">
        <f>SUM(D1262:F1262)</f>
        <v>0</v>
      </c>
    </row>
    <row r="1263" spans="1:26" s="96" customFormat="1">
      <c r="A1263" s="486"/>
      <c r="C1263" s="186" t="s">
        <v>240</v>
      </c>
      <c r="D1263" s="277">
        <f>D1270+D1275+D1282+D1294+D1299</f>
        <v>2181813</v>
      </c>
      <c r="E1263" s="277">
        <f t="shared" ref="E1263" si="51">E1270+E1275+E1282+E1294+E1299</f>
        <v>38318</v>
      </c>
      <c r="F1263" s="277">
        <f>F1270+F1275+F1282+F1294+F1299</f>
        <v>44830</v>
      </c>
      <c r="G1263" s="277">
        <f>SUM(D1263:F1263)</f>
        <v>2264961</v>
      </c>
    </row>
    <row r="1264" spans="1:26" s="96" customFormat="1">
      <c r="A1264" s="486"/>
      <c r="C1264" s="187" t="s">
        <v>825</v>
      </c>
      <c r="D1264" s="278">
        <v>340000</v>
      </c>
      <c r="E1264" s="278"/>
      <c r="G1264" s="278">
        <f>SUM(D1264:F1264)</f>
        <v>340000</v>
      </c>
    </row>
    <row r="1265" spans="1:26">
      <c r="A1265" s="486"/>
      <c r="C1265" s="197" t="s">
        <v>118</v>
      </c>
      <c r="D1265" s="279">
        <f>D1266+D1267</f>
        <v>2181813</v>
      </c>
      <c r="E1265" s="279">
        <f t="shared" ref="E1265" si="52">E1266+E1267</f>
        <v>38318</v>
      </c>
      <c r="F1265" s="279">
        <f>F1266+F1267</f>
        <v>44830</v>
      </c>
      <c r="G1265" s="279">
        <f>SUM(D1265:F1265)</f>
        <v>2264961</v>
      </c>
    </row>
    <row r="1266" spans="1:26">
      <c r="A1266" s="486"/>
      <c r="C1266" s="189" t="s">
        <v>119</v>
      </c>
      <c r="D1266" s="278">
        <f>'[3]2.2 OMATULUD'!B477</f>
        <v>393770</v>
      </c>
      <c r="E1266" s="278"/>
      <c r="F1266" s="5">
        <v>47900</v>
      </c>
      <c r="G1266" s="278">
        <f>SUM(D1266:F1266)</f>
        <v>441670</v>
      </c>
    </row>
    <row r="1267" spans="1:26">
      <c r="A1267" s="486"/>
      <c r="C1267" s="173" t="s">
        <v>120</v>
      </c>
      <c r="D1267" s="278">
        <f>D1263-D1266</f>
        <v>1788043</v>
      </c>
      <c r="E1267" s="278">
        <f t="shared" ref="E1267" si="53">E1263-E1266</f>
        <v>38318</v>
      </c>
      <c r="F1267" s="103">
        <f>F1263-F1266</f>
        <v>-3070</v>
      </c>
      <c r="G1267" s="278">
        <f>SUM(D1267:F1267)</f>
        <v>1823291</v>
      </c>
    </row>
    <row r="1268" spans="1:26" s="493" customFormat="1">
      <c r="C1268" s="603" t="s">
        <v>884</v>
      </c>
      <c r="D1268" s="494">
        <f>D1272+D1279+D1286+D1291+D1296+D1302</f>
        <v>1017022</v>
      </c>
      <c r="E1268" s="494">
        <f t="shared" ref="E1268" si="54">E1272+E1279+E1286+E1291+E1296+E1302</f>
        <v>28638</v>
      </c>
      <c r="F1268" s="494">
        <f>F1272+F1279+F1286+F1291+F1296+F1302</f>
        <v>-1717</v>
      </c>
      <c r="G1268" s="494">
        <f>SUM(D1268:F1268)</f>
        <v>1043943</v>
      </c>
      <c r="H1268" s="495"/>
      <c r="I1268" s="495"/>
      <c r="J1268" s="495"/>
      <c r="K1268" s="495"/>
      <c r="L1268" s="495"/>
      <c r="M1268" s="604"/>
      <c r="O1268" s="495"/>
      <c r="P1268" s="495"/>
      <c r="Q1268" s="495"/>
      <c r="R1268" s="604"/>
      <c r="T1268" s="495"/>
      <c r="U1268" s="495"/>
      <c r="V1268" s="495"/>
      <c r="W1268" s="604"/>
      <c r="Z1268" s="103"/>
    </row>
    <row r="1269" spans="1:26">
      <c r="A1269" s="486"/>
      <c r="C1269" s="173"/>
      <c r="D1269" s="278"/>
      <c r="E1269" s="278"/>
      <c r="G1269" s="278">
        <f>SUM(D1269:F1269)</f>
        <v>0</v>
      </c>
    </row>
    <row r="1270" spans="1:26" ht="15">
      <c r="A1270" s="486" t="s">
        <v>671</v>
      </c>
      <c r="B1270" s="5" t="s">
        <v>353</v>
      </c>
      <c r="C1270" s="264" t="s">
        <v>245</v>
      </c>
      <c r="D1270" s="297">
        <f>D1271</f>
        <v>93228</v>
      </c>
      <c r="E1270" s="297"/>
      <c r="G1270" s="297">
        <f>SUM(D1270:F1270)</f>
        <v>93228</v>
      </c>
    </row>
    <row r="1271" spans="1:26">
      <c r="A1271" s="486"/>
      <c r="C1271" s="181" t="s">
        <v>749</v>
      </c>
      <c r="D1271" s="277">
        <v>93228</v>
      </c>
      <c r="E1271" s="277"/>
      <c r="G1271" s="277">
        <f>SUM(D1271:F1271)</f>
        <v>93228</v>
      </c>
    </row>
    <row r="1272" spans="1:26">
      <c r="A1272" s="486"/>
      <c r="C1272" s="182" t="s">
        <v>121</v>
      </c>
      <c r="D1272" s="281">
        <v>46206</v>
      </c>
      <c r="E1272" s="281"/>
      <c r="G1272" s="281">
        <f>SUM(D1272:F1272)</f>
        <v>46206</v>
      </c>
    </row>
    <row r="1273" spans="1:26">
      <c r="A1273" s="486"/>
      <c r="C1273" s="484"/>
      <c r="D1273" s="278"/>
      <c r="E1273" s="278"/>
      <c r="G1273" s="278">
        <f>SUM(D1273:F1273)</f>
        <v>0</v>
      </c>
    </row>
    <row r="1274" spans="1:26">
      <c r="A1274" s="486"/>
      <c r="C1274" s="484"/>
      <c r="D1274" s="278"/>
      <c r="E1274" s="278"/>
      <c r="G1274" s="278">
        <f>SUM(D1274:F1274)</f>
        <v>0</v>
      </c>
    </row>
    <row r="1275" spans="1:26" ht="15">
      <c r="A1275" s="486" t="s">
        <v>839</v>
      </c>
      <c r="B1275" s="5" t="s">
        <v>353</v>
      </c>
      <c r="C1275" s="264" t="s">
        <v>249</v>
      </c>
      <c r="D1275" s="297">
        <f>D1276</f>
        <v>121723</v>
      </c>
      <c r="E1275" s="297"/>
      <c r="G1275" s="297">
        <f>SUM(D1275:F1275)</f>
        <v>121723</v>
      </c>
    </row>
    <row r="1276" spans="1:26">
      <c r="A1276" s="486"/>
      <c r="C1276" s="181" t="s">
        <v>250</v>
      </c>
      <c r="D1276" s="280">
        <v>121723</v>
      </c>
      <c r="E1276" s="280"/>
      <c r="G1276" s="280">
        <f>SUM(D1276:F1276)</f>
        <v>121723</v>
      </c>
    </row>
    <row r="1277" spans="1:26">
      <c r="A1277" s="486"/>
      <c r="C1277" s="265" t="s">
        <v>243</v>
      </c>
      <c r="D1277" s="280"/>
      <c r="E1277" s="280"/>
      <c r="G1277" s="280">
        <f>SUM(D1277:F1277)</f>
        <v>0</v>
      </c>
    </row>
    <row r="1278" spans="1:26">
      <c r="A1278" s="486"/>
      <c r="C1278" s="196" t="s">
        <v>750</v>
      </c>
      <c r="D1278" s="280">
        <v>121723</v>
      </c>
      <c r="E1278" s="280"/>
      <c r="G1278" s="280">
        <f>SUM(D1278:F1278)</f>
        <v>121723</v>
      </c>
    </row>
    <row r="1279" spans="1:26">
      <c r="A1279" s="486"/>
      <c r="C1279" s="243" t="s">
        <v>121</v>
      </c>
      <c r="D1279" s="281">
        <v>66991</v>
      </c>
      <c r="E1279" s="281"/>
      <c r="G1279" s="281">
        <f>SUM(D1279:F1279)</f>
        <v>66991</v>
      </c>
    </row>
    <row r="1280" spans="1:26">
      <c r="A1280" s="486"/>
      <c r="C1280" s="243"/>
      <c r="D1280" s="281"/>
      <c r="E1280" s="281"/>
      <c r="G1280" s="281">
        <f>SUM(D1280:F1280)</f>
        <v>0</v>
      </c>
    </row>
    <row r="1281" spans="1:7">
      <c r="A1281" s="486"/>
      <c r="C1281" s="192"/>
      <c r="D1281" s="278"/>
      <c r="E1281" s="278"/>
      <c r="G1281" s="278">
        <f>SUM(D1281:F1281)</f>
        <v>0</v>
      </c>
    </row>
    <row r="1282" spans="1:7" ht="15">
      <c r="A1282" s="486" t="s">
        <v>773</v>
      </c>
      <c r="B1282" s="5" t="s">
        <v>353</v>
      </c>
      <c r="C1282" s="264" t="s">
        <v>252</v>
      </c>
      <c r="D1282" s="297">
        <f>D1285+D1290</f>
        <v>323640</v>
      </c>
      <c r="E1282" s="297"/>
      <c r="F1282" s="297">
        <f>F1285+F1290</f>
        <v>1800</v>
      </c>
      <c r="G1282" s="297">
        <f>SUM(D1282:F1282)</f>
        <v>325440</v>
      </c>
    </row>
    <row r="1283" spans="1:7">
      <c r="A1283" s="486"/>
      <c r="C1283" s="266" t="s">
        <v>354</v>
      </c>
      <c r="D1283" s="277">
        <v>323640</v>
      </c>
      <c r="E1283" s="277"/>
      <c r="F1283" s="277">
        <f>F1285+F1290</f>
        <v>1800</v>
      </c>
      <c r="G1283" s="277">
        <f>SUM(D1283:F1283)</f>
        <v>325440</v>
      </c>
    </row>
    <row r="1284" spans="1:7">
      <c r="A1284" s="486"/>
      <c r="C1284" s="267" t="s">
        <v>243</v>
      </c>
      <c r="D1284" s="280"/>
      <c r="E1284" s="280"/>
      <c r="G1284" s="280">
        <f>SUM(D1284:F1284)</f>
        <v>0</v>
      </c>
    </row>
    <row r="1285" spans="1:7">
      <c r="A1285" s="486"/>
      <c r="C1285" s="268" t="s">
        <v>751</v>
      </c>
      <c r="D1285" s="280">
        <v>183175</v>
      </c>
      <c r="E1285" s="280"/>
      <c r="F1285" s="5">
        <v>1690</v>
      </c>
      <c r="G1285" s="280">
        <f>SUM(D1285:F1285)</f>
        <v>184865</v>
      </c>
    </row>
    <row r="1286" spans="1:7">
      <c r="A1286" s="486"/>
      <c r="C1286" s="191" t="s">
        <v>121</v>
      </c>
      <c r="D1286" s="281">
        <v>110245</v>
      </c>
      <c r="E1286" s="281"/>
      <c r="F1286" s="5">
        <v>605</v>
      </c>
      <c r="G1286" s="281">
        <f>SUM(D1286:F1286)</f>
        <v>110850</v>
      </c>
    </row>
    <row r="1287" spans="1:7">
      <c r="A1287" s="486"/>
      <c r="C1287" s="191"/>
      <c r="D1287" s="281"/>
      <c r="E1287" s="281"/>
      <c r="G1287" s="281">
        <f>SUM(D1287:F1287)</f>
        <v>0</v>
      </c>
    </row>
    <row r="1288" spans="1:7">
      <c r="A1288" s="486"/>
      <c r="C1288" s="192"/>
      <c r="D1288" s="278"/>
      <c r="E1288" s="278"/>
      <c r="G1288" s="278">
        <f>SUM(D1288:F1288)</f>
        <v>0</v>
      </c>
    </row>
    <row r="1289" spans="1:7">
      <c r="A1289" s="486"/>
      <c r="C1289" s="267" t="s">
        <v>243</v>
      </c>
      <c r="D1289" s="278"/>
      <c r="E1289" s="278"/>
      <c r="G1289" s="278">
        <f>SUM(D1289:F1289)</f>
        <v>0</v>
      </c>
    </row>
    <row r="1290" spans="1:7">
      <c r="A1290" s="486"/>
      <c r="C1290" s="268" t="s">
        <v>752</v>
      </c>
      <c r="D1290" s="280">
        <v>140465</v>
      </c>
      <c r="E1290" s="280"/>
      <c r="F1290" s="5">
        <v>110</v>
      </c>
      <c r="G1290" s="280">
        <f>SUM(D1290:F1290)</f>
        <v>140575</v>
      </c>
    </row>
    <row r="1291" spans="1:7">
      <c r="A1291" s="486"/>
      <c r="C1291" s="191" t="s">
        <v>121</v>
      </c>
      <c r="D1291" s="281">
        <v>104173</v>
      </c>
      <c r="E1291" s="281"/>
      <c r="G1291" s="281">
        <f>SUM(D1291:F1291)</f>
        <v>104173</v>
      </c>
    </row>
    <row r="1292" spans="1:7">
      <c r="A1292" s="486"/>
      <c r="C1292" s="191"/>
      <c r="D1292" s="281"/>
      <c r="E1292" s="281"/>
      <c r="G1292" s="281">
        <f>SUM(D1292:F1292)</f>
        <v>0</v>
      </c>
    </row>
    <row r="1293" spans="1:7">
      <c r="A1293" s="486"/>
      <c r="C1293" s="447"/>
      <c r="D1293" s="278"/>
      <c r="E1293" s="278"/>
      <c r="G1293" s="278">
        <f>SUM(D1293:F1293)</f>
        <v>0</v>
      </c>
    </row>
    <row r="1294" spans="1:7" ht="15">
      <c r="A1294" s="486" t="s">
        <v>674</v>
      </c>
      <c r="B1294" s="5" t="s">
        <v>353</v>
      </c>
      <c r="C1294" s="264" t="s">
        <v>349</v>
      </c>
      <c r="D1294" s="297">
        <f>D1295</f>
        <v>178000</v>
      </c>
      <c r="E1294" s="297"/>
      <c r="G1294" s="297">
        <f>SUM(D1294:F1294)</f>
        <v>178000</v>
      </c>
    </row>
    <row r="1295" spans="1:7">
      <c r="A1295" s="486"/>
      <c r="C1295" s="181" t="s">
        <v>350</v>
      </c>
      <c r="D1295" s="277">
        <f>170000+8000</f>
        <v>178000</v>
      </c>
      <c r="E1295" s="277"/>
      <c r="G1295" s="277">
        <f>SUM(D1295:F1295)</f>
        <v>178000</v>
      </c>
    </row>
    <row r="1296" spans="1:7">
      <c r="A1296" s="486"/>
      <c r="C1296" s="171" t="s">
        <v>121</v>
      </c>
      <c r="D1296" s="281">
        <v>5980</v>
      </c>
      <c r="E1296" s="281"/>
      <c r="G1296" s="281">
        <f>SUM(D1296:F1296)</f>
        <v>5980</v>
      </c>
    </row>
    <row r="1297" spans="1:7">
      <c r="A1297" s="486"/>
      <c r="C1297" s="181"/>
      <c r="D1297" s="277"/>
      <c r="E1297" s="277"/>
      <c r="G1297" s="277">
        <f>SUM(D1297:F1297)</f>
        <v>0</v>
      </c>
    </row>
    <row r="1298" spans="1:7">
      <c r="A1298" s="486"/>
      <c r="C1298" s="240"/>
      <c r="D1298" s="280"/>
      <c r="E1298" s="280"/>
      <c r="G1298" s="280">
        <f>SUM(D1298:F1298)</f>
        <v>0</v>
      </c>
    </row>
    <row r="1299" spans="1:7">
      <c r="A1299" s="486"/>
      <c r="C1299" s="259" t="s">
        <v>244</v>
      </c>
      <c r="D1299" s="277">
        <f>D1301+D1304+D1306+D1308+D1310+D1312+D1314+D1316</f>
        <v>1465222</v>
      </c>
      <c r="E1299" s="277">
        <f t="shared" ref="E1299" si="55">E1301+E1304+E1306+E1308+E1310+E1312+E1314+E1316</f>
        <v>38318</v>
      </c>
      <c r="F1299" s="277">
        <f>F1301+F1304+F1306+F1308+F1310+F1312+F1314+F1316</f>
        <v>43030</v>
      </c>
      <c r="G1299" s="277">
        <f>SUM(D1299:F1299)</f>
        <v>1546570</v>
      </c>
    </row>
    <row r="1300" spans="1:7">
      <c r="A1300" s="486"/>
      <c r="C1300" s="259"/>
      <c r="D1300" s="280"/>
      <c r="E1300" s="280"/>
      <c r="G1300" s="280">
        <f>SUM(D1300:F1300)</f>
        <v>0</v>
      </c>
    </row>
    <row r="1301" spans="1:7">
      <c r="A1301" s="486" t="s">
        <v>678</v>
      </c>
      <c r="B1301" s="5" t="s">
        <v>353</v>
      </c>
      <c r="C1301" s="216" t="s">
        <v>355</v>
      </c>
      <c r="D1301" s="280">
        <v>1073122</v>
      </c>
      <c r="E1301" s="280">
        <v>38318</v>
      </c>
      <c r="F1301" s="280">
        <f>-4571-5819+7320</f>
        <v>-3070</v>
      </c>
      <c r="G1301" s="280">
        <f>SUM(D1301:F1301)</f>
        <v>1108370</v>
      </c>
    </row>
    <row r="1302" spans="1:7">
      <c r="A1302" s="486"/>
      <c r="C1302" s="171" t="s">
        <v>121</v>
      </c>
      <c r="D1302" s="281">
        <v>683427</v>
      </c>
      <c r="E1302" s="281">
        <v>28638</v>
      </c>
      <c r="F1302" s="281">
        <f>-3417-4375+5470</f>
        <v>-2322</v>
      </c>
      <c r="G1302" s="281">
        <f>SUM(D1302:F1302)</f>
        <v>709743</v>
      </c>
    </row>
    <row r="1303" spans="1:7">
      <c r="A1303" s="486"/>
      <c r="C1303" s="216"/>
      <c r="D1303" s="278"/>
      <c r="E1303" s="278"/>
      <c r="F1303" s="605"/>
      <c r="G1303" s="278">
        <f>SUM(D1303:F1303)</f>
        <v>0</v>
      </c>
    </row>
    <row r="1304" spans="1:7" ht="25.5">
      <c r="A1304" s="486" t="s">
        <v>671</v>
      </c>
      <c r="B1304" s="5" t="s">
        <v>353</v>
      </c>
      <c r="C1304" s="269" t="s">
        <v>356</v>
      </c>
      <c r="D1304" s="280">
        <v>84000</v>
      </c>
      <c r="E1304" s="280"/>
      <c r="F1304" s="629">
        <v>20000</v>
      </c>
      <c r="G1304" s="280">
        <f>SUM(D1304:F1304)</f>
        <v>104000</v>
      </c>
    </row>
    <row r="1305" spans="1:7">
      <c r="A1305" s="486"/>
      <c r="C1305" s="171"/>
      <c r="D1305" s="280"/>
      <c r="E1305" s="280"/>
      <c r="G1305" s="280">
        <f>SUM(D1305:F1305)</f>
        <v>0</v>
      </c>
    </row>
    <row r="1306" spans="1:7">
      <c r="A1306" s="486" t="s">
        <v>773</v>
      </c>
      <c r="B1306" s="5" t="s">
        <v>353</v>
      </c>
      <c r="C1306" s="227" t="s">
        <v>357</v>
      </c>
      <c r="D1306" s="280">
        <v>51100</v>
      </c>
      <c r="E1306" s="280"/>
      <c r="G1306" s="280">
        <f>SUM(D1306:F1306)</f>
        <v>51100</v>
      </c>
    </row>
    <row r="1307" spans="1:7">
      <c r="A1307" s="486"/>
      <c r="C1307" s="233"/>
      <c r="D1307" s="280"/>
      <c r="E1307" s="280"/>
      <c r="G1307" s="280">
        <f>SUM(D1307:F1307)</f>
        <v>0</v>
      </c>
    </row>
    <row r="1308" spans="1:7">
      <c r="A1308" s="486" t="s">
        <v>674</v>
      </c>
      <c r="B1308" s="5" t="s">
        <v>353</v>
      </c>
      <c r="C1308" s="227" t="s">
        <v>351</v>
      </c>
      <c r="D1308" s="280">
        <v>41000</v>
      </c>
      <c r="E1308" s="280"/>
      <c r="F1308" s="5">
        <v>20000</v>
      </c>
      <c r="G1308" s="280">
        <f>SUM(D1308:F1308)</f>
        <v>61000</v>
      </c>
    </row>
    <row r="1309" spans="1:7">
      <c r="A1309" s="486"/>
      <c r="C1309" s="227"/>
      <c r="D1309" s="280"/>
      <c r="E1309" s="280"/>
      <c r="G1309" s="280">
        <f>SUM(D1309:F1309)</f>
        <v>0</v>
      </c>
    </row>
    <row r="1310" spans="1:7">
      <c r="A1310" s="486" t="s">
        <v>674</v>
      </c>
      <c r="B1310" s="5" t="s">
        <v>353</v>
      </c>
      <c r="C1310" s="269" t="s">
        <v>358</v>
      </c>
      <c r="D1310" s="280">
        <v>35000</v>
      </c>
      <c r="E1310" s="280"/>
      <c r="G1310" s="280">
        <f>SUM(D1310:F1310)</f>
        <v>35000</v>
      </c>
    </row>
    <row r="1311" spans="1:7">
      <c r="A1311" s="486"/>
      <c r="C1311" s="227"/>
      <c r="D1311" s="280"/>
      <c r="E1311" s="280"/>
      <c r="G1311" s="280">
        <f>SUM(D1311:F1311)</f>
        <v>0</v>
      </c>
    </row>
    <row r="1312" spans="1:7">
      <c r="A1312" s="486" t="s">
        <v>676</v>
      </c>
      <c r="B1312" s="5" t="s">
        <v>353</v>
      </c>
      <c r="C1312" s="193" t="s">
        <v>359</v>
      </c>
      <c r="D1312" s="280">
        <v>50000</v>
      </c>
      <c r="E1312" s="280"/>
      <c r="G1312" s="280">
        <f>SUM(D1312:F1312)</f>
        <v>50000</v>
      </c>
    </row>
    <row r="1313" spans="1:26">
      <c r="A1313" s="486"/>
      <c r="C1313" s="240"/>
      <c r="D1313" s="280"/>
      <c r="E1313" s="280"/>
      <c r="G1313" s="280">
        <f>SUM(D1313:F1313)</f>
        <v>0</v>
      </c>
    </row>
    <row r="1314" spans="1:26">
      <c r="A1314" s="486" t="s">
        <v>676</v>
      </c>
      <c r="B1314" s="5" t="s">
        <v>353</v>
      </c>
      <c r="C1314" s="193" t="s">
        <v>319</v>
      </c>
      <c r="D1314" s="280">
        <v>115000</v>
      </c>
      <c r="E1314" s="280"/>
      <c r="F1314" s="5">
        <v>6100</v>
      </c>
      <c r="G1314" s="280">
        <f>SUM(D1314:F1314)</f>
        <v>121100</v>
      </c>
    </row>
    <row r="1315" spans="1:26">
      <c r="A1315" s="486"/>
      <c r="C1315" s="193"/>
      <c r="D1315" s="280"/>
      <c r="E1315" s="280"/>
      <c r="G1315" s="280">
        <f>SUM(D1315:F1315)</f>
        <v>0</v>
      </c>
    </row>
    <row r="1316" spans="1:26">
      <c r="A1316" s="486" t="s">
        <v>843</v>
      </c>
      <c r="B1316" s="5" t="s">
        <v>353</v>
      </c>
      <c r="C1316" s="193" t="s">
        <v>360</v>
      </c>
      <c r="D1316" s="280">
        <v>16000</v>
      </c>
      <c r="E1316" s="280"/>
      <c r="G1316" s="280">
        <f>SUM(D1316:F1316)</f>
        <v>16000</v>
      </c>
    </row>
    <row r="1317" spans="1:26">
      <c r="A1317" s="486"/>
      <c r="C1317" s="193"/>
      <c r="D1317" s="280"/>
      <c r="E1317" s="280"/>
      <c r="G1317" s="280">
        <f>SUM(D1317:F1317)</f>
        <v>0</v>
      </c>
    </row>
    <row r="1318" spans="1:26">
      <c r="A1318" s="486"/>
      <c r="C1318" s="232"/>
      <c r="D1318" s="280"/>
      <c r="E1318" s="280"/>
      <c r="G1318" s="280">
        <f>SUM(D1318:F1318)</f>
        <v>0</v>
      </c>
    </row>
    <row r="1319" spans="1:26" ht="15.75">
      <c r="A1319" s="486"/>
      <c r="C1319" s="184" t="s">
        <v>768</v>
      </c>
      <c r="D1319" s="449"/>
      <c r="E1319" s="449"/>
      <c r="G1319" s="449">
        <f>SUM(D1319:F1319)</f>
        <v>0</v>
      </c>
    </row>
    <row r="1320" spans="1:26">
      <c r="A1320" s="486"/>
      <c r="C1320" s="173"/>
      <c r="D1320" s="281"/>
      <c r="E1320" s="281"/>
      <c r="F1320" s="281"/>
      <c r="G1320" s="281">
        <f>SUM(D1320:F1320)</f>
        <v>0</v>
      </c>
    </row>
    <row r="1321" spans="1:26">
      <c r="A1321" s="486"/>
      <c r="C1321" s="186" t="s">
        <v>240</v>
      </c>
      <c r="D1321" s="277">
        <f>D1328+D1333+D1339+D1351+D1356</f>
        <v>5423949</v>
      </c>
      <c r="E1321" s="277">
        <f>E1328+E1333+E1339+E1351+E1356</f>
        <v>70463</v>
      </c>
      <c r="F1321" s="277">
        <f>F1328+F1333+F1339+F1351+F1356</f>
        <v>251735</v>
      </c>
      <c r="G1321" s="277">
        <f>SUM(D1321:F1321)</f>
        <v>5746147</v>
      </c>
    </row>
    <row r="1322" spans="1:26">
      <c r="A1322" s="486"/>
      <c r="C1322" s="187" t="s">
        <v>825</v>
      </c>
      <c r="D1322" s="278">
        <v>2098624</v>
      </c>
      <c r="E1322" s="278"/>
      <c r="F1322" s="278"/>
      <c r="G1322" s="278">
        <f>SUM(D1322:F1322)</f>
        <v>2098624</v>
      </c>
    </row>
    <row r="1323" spans="1:26">
      <c r="A1323" s="486"/>
      <c r="C1323" s="188" t="s">
        <v>118</v>
      </c>
      <c r="D1323" s="277">
        <f>SUM(D1324:D1325)</f>
        <v>5423949</v>
      </c>
      <c r="E1323" s="277">
        <f>SUM(E1324:E1325)</f>
        <v>70463</v>
      </c>
      <c r="F1323" s="277">
        <f>SUM(F1324:F1325)</f>
        <v>251735</v>
      </c>
      <c r="G1323" s="277">
        <f>SUM(D1323:F1323)</f>
        <v>5746147</v>
      </c>
    </row>
    <row r="1324" spans="1:26">
      <c r="A1324" s="486"/>
      <c r="C1324" s="189" t="s">
        <v>119</v>
      </c>
      <c r="D1324" s="278">
        <f>'[3]2.2 OMATULUD'!B507</f>
        <v>4542230</v>
      </c>
      <c r="E1324" s="278"/>
      <c r="F1324" s="278">
        <v>274500</v>
      </c>
      <c r="G1324" s="278">
        <f>SUM(D1324:F1324)</f>
        <v>4816730</v>
      </c>
    </row>
    <row r="1325" spans="1:26">
      <c r="A1325" s="486"/>
      <c r="C1325" s="173" t="s">
        <v>120</v>
      </c>
      <c r="D1325" s="278">
        <f>D1321-D1324</f>
        <v>881719</v>
      </c>
      <c r="E1325" s="278">
        <f>E1321-E1324</f>
        <v>70463</v>
      </c>
      <c r="F1325" s="278">
        <f>F1321-F1324</f>
        <v>-22765</v>
      </c>
      <c r="G1325" s="278">
        <f>SUM(D1325:F1325)</f>
        <v>929417</v>
      </c>
    </row>
    <row r="1326" spans="1:26" s="493" customFormat="1">
      <c r="C1326" s="603" t="s">
        <v>884</v>
      </c>
      <c r="D1326" s="494">
        <f>D1330+D1337+D1343+D1348+D1353+D1359+D1362+D1384+D1381</f>
        <v>1927325</v>
      </c>
      <c r="E1326" s="494">
        <f>E1330+E1337+E1343+E1348+E1353+E1359+E1362+E1384+E1381</f>
        <v>52663</v>
      </c>
      <c r="F1326" s="494">
        <f>F1330+F1337+F1343+F1348+F1353+F1359+F1362+F1384+F1381</f>
        <v>-11313</v>
      </c>
      <c r="G1326" s="494">
        <f>SUM(D1326:F1326)</f>
        <v>1968675</v>
      </c>
      <c r="H1326" s="495"/>
      <c r="I1326" s="495"/>
      <c r="J1326" s="495"/>
      <c r="K1326" s="495"/>
      <c r="L1326" s="495"/>
      <c r="M1326" s="604"/>
      <c r="O1326" s="495"/>
      <c r="P1326" s="495"/>
      <c r="Q1326" s="495"/>
      <c r="R1326" s="604"/>
      <c r="T1326" s="495"/>
      <c r="U1326" s="495"/>
      <c r="V1326" s="495"/>
      <c r="W1326" s="604"/>
      <c r="Z1326" s="103"/>
    </row>
    <row r="1327" spans="1:26">
      <c r="A1327" s="486"/>
      <c r="C1327" s="96"/>
      <c r="D1327" s="277"/>
      <c r="E1327" s="277"/>
      <c r="G1327" s="277">
        <f>SUM(D1327:F1327)</f>
        <v>0</v>
      </c>
    </row>
    <row r="1328" spans="1:26" ht="15">
      <c r="A1328" s="486" t="s">
        <v>671</v>
      </c>
      <c r="B1328" s="5" t="s">
        <v>768</v>
      </c>
      <c r="C1328" s="264" t="s">
        <v>245</v>
      </c>
      <c r="D1328" s="298">
        <f>D1329</f>
        <v>179023</v>
      </c>
      <c r="E1328" s="298"/>
      <c r="F1328" s="298">
        <f>F1329</f>
        <v>17000</v>
      </c>
      <c r="G1328" s="298">
        <f>SUM(D1328:F1328)</f>
        <v>196023</v>
      </c>
    </row>
    <row r="1329" spans="1:7">
      <c r="A1329" s="486"/>
      <c r="C1329" s="181" t="s">
        <v>769</v>
      </c>
      <c r="D1329" s="285">
        <v>179023</v>
      </c>
      <c r="E1329" s="285"/>
      <c r="F1329" s="5">
        <v>17000</v>
      </c>
      <c r="G1329" s="285">
        <f>SUM(D1329:F1329)</f>
        <v>196023</v>
      </c>
    </row>
    <row r="1330" spans="1:7">
      <c r="A1330" s="486"/>
      <c r="C1330" s="182" t="s">
        <v>121</v>
      </c>
      <c r="D1330" s="281">
        <v>90934</v>
      </c>
      <c r="E1330" s="281"/>
      <c r="F1330" s="5">
        <v>4730</v>
      </c>
      <c r="G1330" s="281">
        <f>SUM(D1330:F1330)</f>
        <v>95664</v>
      </c>
    </row>
    <row r="1331" spans="1:7" ht="12.75" customHeight="1">
      <c r="A1331" s="486"/>
      <c r="C1331" s="242"/>
      <c r="D1331" s="449"/>
      <c r="E1331" s="449"/>
      <c r="G1331" s="449">
        <f>SUM(D1331:F1331)</f>
        <v>0</v>
      </c>
    </row>
    <row r="1332" spans="1:7" ht="15.75">
      <c r="A1332" s="486"/>
      <c r="C1332" s="180"/>
      <c r="D1332" s="276"/>
      <c r="E1332" s="276"/>
      <c r="G1332" s="276">
        <f>SUM(D1332:F1332)</f>
        <v>0</v>
      </c>
    </row>
    <row r="1333" spans="1:7" ht="15">
      <c r="A1333" s="486" t="s">
        <v>839</v>
      </c>
      <c r="B1333" s="5" t="s">
        <v>768</v>
      </c>
      <c r="C1333" s="264" t="s">
        <v>249</v>
      </c>
      <c r="D1333" s="298">
        <f>D1334</f>
        <v>141648</v>
      </c>
      <c r="E1333" s="298"/>
      <c r="F1333" s="298">
        <f>F1334</f>
        <v>15000</v>
      </c>
      <c r="G1333" s="298">
        <f>SUM(D1333:F1333)</f>
        <v>156648</v>
      </c>
    </row>
    <row r="1334" spans="1:7">
      <c r="A1334" s="486"/>
      <c r="C1334" s="266" t="s">
        <v>250</v>
      </c>
      <c r="D1334" s="285">
        <f>D1336</f>
        <v>141648</v>
      </c>
      <c r="E1334" s="285"/>
      <c r="F1334" s="285">
        <f>F1336</f>
        <v>15000</v>
      </c>
      <c r="G1334" s="285">
        <f>SUM(D1334:F1334)</f>
        <v>156648</v>
      </c>
    </row>
    <row r="1335" spans="1:7">
      <c r="A1335" s="486"/>
      <c r="C1335" s="267" t="s">
        <v>243</v>
      </c>
      <c r="D1335" s="281"/>
      <c r="E1335" s="281"/>
      <c r="G1335" s="281">
        <f>SUM(D1335:F1335)</f>
        <v>0</v>
      </c>
    </row>
    <row r="1336" spans="1:7">
      <c r="A1336" s="486"/>
      <c r="C1336" s="268" t="s">
        <v>770</v>
      </c>
      <c r="D1336" s="279">
        <v>141648</v>
      </c>
      <c r="E1336" s="279"/>
      <c r="F1336" s="5">
        <v>15000</v>
      </c>
      <c r="G1336" s="279">
        <f>SUM(D1336:F1336)</f>
        <v>156648</v>
      </c>
    </row>
    <row r="1337" spans="1:7">
      <c r="A1337" s="486"/>
      <c r="C1337" s="191" t="s">
        <v>121</v>
      </c>
      <c r="D1337" s="278">
        <v>66028</v>
      </c>
      <c r="E1337" s="278"/>
      <c r="G1337" s="278">
        <f>SUM(D1337:F1337)</f>
        <v>66028</v>
      </c>
    </row>
    <row r="1338" spans="1:7">
      <c r="A1338" s="486"/>
      <c r="C1338" s="450"/>
      <c r="D1338" s="291"/>
      <c r="E1338" s="291"/>
      <c r="G1338" s="291">
        <f>SUM(D1338:F1338)</f>
        <v>0</v>
      </c>
    </row>
    <row r="1339" spans="1:7" ht="15">
      <c r="A1339" s="486" t="s">
        <v>773</v>
      </c>
      <c r="B1339" s="5" t="s">
        <v>768</v>
      </c>
      <c r="C1339" s="264" t="s">
        <v>252</v>
      </c>
      <c r="D1339" s="298">
        <f>D1340</f>
        <v>555180</v>
      </c>
      <c r="E1339" s="298"/>
      <c r="F1339" s="298">
        <f>F1340</f>
        <v>5000</v>
      </c>
      <c r="G1339" s="298">
        <f>SUM(D1339:F1339)</f>
        <v>560180</v>
      </c>
    </row>
    <row r="1340" spans="1:7">
      <c r="A1340" s="486"/>
      <c r="C1340" s="266" t="s">
        <v>354</v>
      </c>
      <c r="D1340" s="285">
        <f>D1342+D1347</f>
        <v>555180</v>
      </c>
      <c r="E1340" s="285"/>
      <c r="F1340" s="285">
        <f>F1342+F1347</f>
        <v>5000</v>
      </c>
      <c r="G1340" s="285">
        <f>SUM(D1340:F1340)</f>
        <v>560180</v>
      </c>
    </row>
    <row r="1341" spans="1:7">
      <c r="A1341" s="486"/>
      <c r="C1341" s="267" t="s">
        <v>243</v>
      </c>
      <c r="D1341" s="281"/>
      <c r="E1341" s="281"/>
      <c r="G1341" s="281">
        <f>SUM(D1341:F1341)</f>
        <v>0</v>
      </c>
    </row>
    <row r="1342" spans="1:7">
      <c r="A1342" s="486"/>
      <c r="C1342" s="268" t="s">
        <v>771</v>
      </c>
      <c r="D1342" s="282">
        <v>290390</v>
      </c>
      <c r="E1342" s="282"/>
      <c r="F1342" s="5">
        <v>30700</v>
      </c>
      <c r="G1342" s="282">
        <f>SUM(D1342:F1342)</f>
        <v>321090</v>
      </c>
    </row>
    <row r="1343" spans="1:7">
      <c r="A1343" s="486"/>
      <c r="C1343" s="191" t="s">
        <v>121</v>
      </c>
      <c r="D1343" s="281">
        <v>146484</v>
      </c>
      <c r="E1343" s="281"/>
      <c r="F1343" s="5">
        <v>14590</v>
      </c>
      <c r="G1343" s="281">
        <f>SUM(D1343:F1343)</f>
        <v>161074</v>
      </c>
    </row>
    <row r="1344" spans="1:7">
      <c r="A1344" s="486"/>
      <c r="C1344" s="191"/>
      <c r="D1344" s="379"/>
      <c r="E1344" s="379"/>
      <c r="G1344" s="379">
        <f>SUM(D1344:F1344)</f>
        <v>0</v>
      </c>
    </row>
    <row r="1345" spans="1:7">
      <c r="A1345" s="486"/>
      <c r="C1345" s="192"/>
      <c r="D1345" s="379"/>
      <c r="E1345" s="379"/>
      <c r="G1345" s="379">
        <f>SUM(D1345:F1345)</f>
        <v>0</v>
      </c>
    </row>
    <row r="1346" spans="1:7">
      <c r="A1346" s="486"/>
      <c r="C1346" s="267" t="s">
        <v>243</v>
      </c>
      <c r="D1346" s="299"/>
      <c r="E1346" s="299"/>
      <c r="G1346" s="299">
        <f>SUM(D1346:F1346)</f>
        <v>0</v>
      </c>
    </row>
    <row r="1347" spans="1:7">
      <c r="A1347" s="486"/>
      <c r="C1347" s="268" t="s">
        <v>772</v>
      </c>
      <c r="D1347" s="282">
        <v>264790</v>
      </c>
      <c r="E1347" s="282"/>
      <c r="F1347" s="5">
        <v>-25700</v>
      </c>
      <c r="G1347" s="282">
        <f>SUM(D1347:F1347)</f>
        <v>239090</v>
      </c>
    </row>
    <row r="1348" spans="1:7">
      <c r="A1348" s="486"/>
      <c r="C1348" s="191" t="s">
        <v>121</v>
      </c>
      <c r="D1348" s="281">
        <v>195837</v>
      </c>
      <c r="E1348" s="281"/>
      <c r="F1348" s="5">
        <v>-17710</v>
      </c>
      <c r="G1348" s="281">
        <f>SUM(D1348:F1348)</f>
        <v>178127</v>
      </c>
    </row>
    <row r="1349" spans="1:7">
      <c r="A1349" s="486"/>
      <c r="C1349" s="191"/>
      <c r="D1349" s="387"/>
      <c r="E1349" s="387"/>
      <c r="G1349" s="387">
        <f>SUM(D1349:F1349)</f>
        <v>0</v>
      </c>
    </row>
    <row r="1350" spans="1:7">
      <c r="A1350" s="486"/>
      <c r="C1350" s="200"/>
      <c r="D1350" s="379"/>
      <c r="E1350" s="379"/>
      <c r="G1350" s="379">
        <f>SUM(D1350:F1350)</f>
        <v>0</v>
      </c>
    </row>
    <row r="1351" spans="1:7" ht="15">
      <c r="A1351" s="486" t="s">
        <v>674</v>
      </c>
      <c r="B1351" s="5" t="s">
        <v>768</v>
      </c>
      <c r="C1351" s="264" t="s">
        <v>349</v>
      </c>
      <c r="D1351" s="298">
        <f>D1352</f>
        <v>793000</v>
      </c>
      <c r="E1351" s="298"/>
      <c r="F1351" s="5">
        <f>F1352</f>
        <v>35000</v>
      </c>
      <c r="G1351" s="298">
        <f>SUM(D1351:F1351)</f>
        <v>828000</v>
      </c>
    </row>
    <row r="1352" spans="1:7">
      <c r="A1352" s="486"/>
      <c r="C1352" s="181" t="s">
        <v>350</v>
      </c>
      <c r="D1352" s="285">
        <v>793000</v>
      </c>
      <c r="E1352" s="285"/>
      <c r="F1352" s="5">
        <v>35000</v>
      </c>
      <c r="G1352" s="285">
        <f>SUM(D1352:F1352)</f>
        <v>828000</v>
      </c>
    </row>
    <row r="1353" spans="1:7">
      <c r="A1353" s="486"/>
      <c r="C1353" s="182" t="s">
        <v>121</v>
      </c>
      <c r="D1353" s="281">
        <v>5850</v>
      </c>
      <c r="E1353" s="281"/>
      <c r="F1353" s="5">
        <v>150</v>
      </c>
      <c r="G1353" s="281">
        <f>SUM(D1353:F1353)</f>
        <v>6000</v>
      </c>
    </row>
    <row r="1354" spans="1:7">
      <c r="A1354" s="486"/>
      <c r="C1354" s="263"/>
      <c r="D1354" s="281"/>
      <c r="E1354" s="281"/>
      <c r="G1354" s="281">
        <f>SUM(D1354:F1354)</f>
        <v>0</v>
      </c>
    </row>
    <row r="1355" spans="1:7">
      <c r="A1355" s="486"/>
      <c r="C1355" s="180"/>
      <c r="D1355" s="379"/>
      <c r="E1355" s="379"/>
      <c r="G1355" s="379">
        <f>SUM(D1355:F1355)</f>
        <v>0</v>
      </c>
    </row>
    <row r="1356" spans="1:7">
      <c r="A1356" s="486"/>
      <c r="C1356" s="259" t="s">
        <v>244</v>
      </c>
      <c r="D1356" s="431">
        <f>D1358+D1361+D1366+D1368+D1370+D1372+D1374+D1376+D1378+D1380+D1383+D1386</f>
        <v>3755098</v>
      </c>
      <c r="E1356" s="431">
        <f t="shared" ref="E1356" si="56">E1358+E1361+E1366+E1368+E1370+E1372+E1374+E1376+E1378+E1380+E1383+E1386</f>
        <v>70463</v>
      </c>
      <c r="F1356" s="431">
        <f>F1358+F1361+F1366+F1368+F1370+F1372+F1374+F1376+F1378+F1380+F1383+F1386</f>
        <v>179735</v>
      </c>
      <c r="G1356" s="431">
        <f>SUM(D1356:F1356)</f>
        <v>4005296</v>
      </c>
    </row>
    <row r="1357" spans="1:7">
      <c r="A1357" s="486"/>
      <c r="C1357" s="259"/>
      <c r="D1357" s="379"/>
      <c r="E1357" s="379"/>
      <c r="G1357" s="379">
        <f>SUM(D1357:F1357)</f>
        <v>0</v>
      </c>
    </row>
    <row r="1358" spans="1:7">
      <c r="A1358" s="486" t="s">
        <v>678</v>
      </c>
      <c r="B1358" s="5" t="s">
        <v>768</v>
      </c>
      <c r="C1358" s="216" t="s">
        <v>355</v>
      </c>
      <c r="D1358" s="282">
        <v>2138000</v>
      </c>
      <c r="E1358" s="282">
        <v>70463</v>
      </c>
      <c r="F1358" s="5">
        <v>9235</v>
      </c>
      <c r="G1358" s="282">
        <f>SUM(D1358:F1358)</f>
        <v>2217698</v>
      </c>
    </row>
    <row r="1359" spans="1:7">
      <c r="A1359" s="486"/>
      <c r="C1359" s="171" t="s">
        <v>121</v>
      </c>
      <c r="D1359" s="281">
        <v>1263367</v>
      </c>
      <c r="E1359" s="281">
        <v>52663</v>
      </c>
      <c r="F1359" s="5">
        <v>-17093</v>
      </c>
      <c r="G1359" s="281">
        <f>SUM(D1359:F1359)</f>
        <v>1298937</v>
      </c>
    </row>
    <row r="1360" spans="1:7">
      <c r="A1360" s="486"/>
      <c r="C1360" s="232"/>
      <c r="D1360" s="282"/>
      <c r="E1360" s="282"/>
      <c r="G1360" s="282">
        <f>SUM(D1360:F1360)</f>
        <v>0</v>
      </c>
    </row>
    <row r="1361" spans="1:7" ht="25.5">
      <c r="A1361" s="486" t="s">
        <v>671</v>
      </c>
      <c r="B1361" s="5" t="s">
        <v>768</v>
      </c>
      <c r="C1361" s="269" t="s">
        <v>356</v>
      </c>
      <c r="D1361" s="432">
        <v>390000</v>
      </c>
      <c r="E1361" s="432"/>
      <c r="F1361" s="5">
        <v>65000</v>
      </c>
      <c r="G1361" s="432">
        <f>SUM(D1361:F1361)</f>
        <v>455000</v>
      </c>
    </row>
    <row r="1362" spans="1:7">
      <c r="A1362" s="486"/>
      <c r="C1362" s="241" t="s">
        <v>121</v>
      </c>
      <c r="D1362" s="433">
        <v>16000</v>
      </c>
      <c r="E1362" s="433"/>
      <c r="G1362" s="433">
        <f>SUM(D1362:F1362)</f>
        <v>16000</v>
      </c>
    </row>
    <row r="1363" spans="1:7">
      <c r="A1363" s="486"/>
      <c r="C1363" s="388" t="s">
        <v>501</v>
      </c>
      <c r="D1363" s="434">
        <v>220000</v>
      </c>
      <c r="E1363" s="434"/>
      <c r="G1363" s="434">
        <f>SUM(D1363:F1363)</f>
        <v>220000</v>
      </c>
    </row>
    <row r="1364" spans="1:7">
      <c r="A1364" s="486"/>
      <c r="C1364" s="388" t="s">
        <v>502</v>
      </c>
      <c r="D1364" s="434">
        <v>15000</v>
      </c>
      <c r="E1364" s="434"/>
      <c r="G1364" s="434">
        <f>SUM(D1364:F1364)</f>
        <v>15000</v>
      </c>
    </row>
    <row r="1365" spans="1:7">
      <c r="A1365" s="486"/>
      <c r="C1365" s="241"/>
      <c r="D1365" s="379"/>
      <c r="E1365" s="379"/>
      <c r="G1365" s="379">
        <f>SUM(D1365:F1365)</f>
        <v>0</v>
      </c>
    </row>
    <row r="1366" spans="1:7">
      <c r="A1366" s="486" t="s">
        <v>773</v>
      </c>
      <c r="B1366" s="5" t="s">
        <v>768</v>
      </c>
      <c r="C1366" s="269" t="s">
        <v>357</v>
      </c>
      <c r="D1366" s="432">
        <v>60000</v>
      </c>
      <c r="E1366" s="432"/>
      <c r="G1366" s="432">
        <f>SUM(D1366:F1366)</f>
        <v>60000</v>
      </c>
    </row>
    <row r="1367" spans="1:7">
      <c r="A1367" s="486"/>
      <c r="C1367" s="233"/>
      <c r="D1367" s="432"/>
      <c r="E1367" s="432"/>
      <c r="G1367" s="432">
        <f>SUM(D1367:F1367)</f>
        <v>0</v>
      </c>
    </row>
    <row r="1368" spans="1:7">
      <c r="A1368" s="486" t="s">
        <v>773</v>
      </c>
      <c r="B1368" s="5" t="s">
        <v>768</v>
      </c>
      <c r="C1368" s="233" t="s">
        <v>503</v>
      </c>
      <c r="D1368" s="432">
        <v>3500</v>
      </c>
      <c r="E1368" s="432"/>
      <c r="G1368" s="432">
        <f>SUM(D1368:F1368)</f>
        <v>3500</v>
      </c>
    </row>
    <row r="1369" spans="1:7">
      <c r="A1369" s="486"/>
      <c r="C1369" s="232"/>
      <c r="D1369" s="432"/>
      <c r="E1369" s="432"/>
      <c r="G1369" s="432">
        <f>SUM(D1369:F1369)</f>
        <v>0</v>
      </c>
    </row>
    <row r="1370" spans="1:7">
      <c r="A1370" s="486" t="s">
        <v>674</v>
      </c>
      <c r="B1370" s="5" t="s">
        <v>768</v>
      </c>
      <c r="C1370" s="227" t="s">
        <v>351</v>
      </c>
      <c r="D1370" s="432">
        <v>170000</v>
      </c>
      <c r="E1370" s="432"/>
      <c r="F1370" s="5">
        <v>60000</v>
      </c>
      <c r="G1370" s="432">
        <f>SUM(D1370:F1370)</f>
        <v>230000</v>
      </c>
    </row>
    <row r="1371" spans="1:7">
      <c r="A1371" s="486"/>
      <c r="C1371" s="227"/>
      <c r="D1371" s="432"/>
      <c r="E1371" s="432"/>
      <c r="G1371" s="432">
        <f>SUM(D1371:F1371)</f>
        <v>0</v>
      </c>
    </row>
    <row r="1372" spans="1:7">
      <c r="A1372" s="486" t="s">
        <v>674</v>
      </c>
      <c r="B1372" s="5" t="s">
        <v>768</v>
      </c>
      <c r="C1372" s="269" t="s">
        <v>358</v>
      </c>
      <c r="D1372" s="432">
        <v>19000</v>
      </c>
      <c r="E1372" s="432"/>
      <c r="G1372" s="432">
        <f>SUM(D1372:F1372)</f>
        <v>19000</v>
      </c>
    </row>
    <row r="1373" spans="1:7">
      <c r="A1373" s="486"/>
      <c r="C1373" s="227"/>
      <c r="D1373" s="432"/>
      <c r="E1373" s="432"/>
      <c r="G1373" s="432">
        <f>SUM(D1373:F1373)</f>
        <v>0</v>
      </c>
    </row>
    <row r="1374" spans="1:7">
      <c r="A1374" s="486" t="s">
        <v>676</v>
      </c>
      <c r="B1374" s="5" t="s">
        <v>768</v>
      </c>
      <c r="C1374" s="193" t="s">
        <v>359</v>
      </c>
      <c r="D1374" s="432">
        <v>43000</v>
      </c>
      <c r="E1374" s="432"/>
      <c r="G1374" s="432">
        <f>SUM(D1374:F1374)</f>
        <v>43000</v>
      </c>
    </row>
    <row r="1375" spans="1:7">
      <c r="A1375" s="486"/>
      <c r="C1375" s="240"/>
      <c r="D1375" s="432"/>
      <c r="E1375" s="432"/>
      <c r="G1375" s="432">
        <f>SUM(D1375:F1375)</f>
        <v>0</v>
      </c>
    </row>
    <row r="1376" spans="1:7">
      <c r="A1376" s="486" t="s">
        <v>676</v>
      </c>
      <c r="B1376" s="5" t="s">
        <v>768</v>
      </c>
      <c r="C1376" s="193" t="s">
        <v>319</v>
      </c>
      <c r="D1376" s="432">
        <v>420000</v>
      </c>
      <c r="E1376" s="432"/>
      <c r="F1376" s="5">
        <v>25000</v>
      </c>
      <c r="G1376" s="432">
        <f>SUM(D1376:F1376)</f>
        <v>445000</v>
      </c>
    </row>
    <row r="1377" spans="1:7">
      <c r="A1377" s="486"/>
      <c r="C1377" s="233"/>
      <c r="D1377" s="432"/>
      <c r="E1377" s="432"/>
      <c r="G1377" s="432">
        <f>SUM(D1377:F1377)</f>
        <v>0</v>
      </c>
    </row>
    <row r="1378" spans="1:7">
      <c r="A1378" s="486" t="s">
        <v>838</v>
      </c>
      <c r="B1378" s="5" t="s">
        <v>768</v>
      </c>
      <c r="C1378" s="227" t="s">
        <v>504</v>
      </c>
      <c r="D1378" s="432">
        <v>5000</v>
      </c>
      <c r="E1378" s="432"/>
      <c r="G1378" s="432">
        <f>SUM(D1378:F1378)</f>
        <v>5000</v>
      </c>
    </row>
    <row r="1379" spans="1:7">
      <c r="A1379" s="486"/>
      <c r="C1379" s="227"/>
      <c r="D1379" s="432"/>
      <c r="E1379" s="432"/>
      <c r="G1379" s="432">
        <f>SUM(D1379:F1379)</f>
        <v>0</v>
      </c>
    </row>
    <row r="1380" spans="1:7">
      <c r="A1380" s="486" t="s">
        <v>676</v>
      </c>
      <c r="B1380" s="5" t="s">
        <v>768</v>
      </c>
      <c r="C1380" s="227" t="s">
        <v>505</v>
      </c>
      <c r="D1380" s="432">
        <v>363803</v>
      </c>
      <c r="E1380" s="432"/>
      <c r="F1380" s="5">
        <v>14000</v>
      </c>
      <c r="G1380" s="432">
        <f>SUM(D1380:F1380)</f>
        <v>377803</v>
      </c>
    </row>
    <row r="1381" spans="1:7">
      <c r="A1381" s="486"/>
      <c r="C1381" s="241" t="s">
        <v>121</v>
      </c>
      <c r="D1381" s="433">
        <v>96864</v>
      </c>
      <c r="E1381" s="433"/>
      <c r="F1381" s="5">
        <v>4020</v>
      </c>
      <c r="G1381" s="433">
        <f>SUM(D1381:F1381)</f>
        <v>100884</v>
      </c>
    </row>
    <row r="1382" spans="1:7">
      <c r="A1382" s="486"/>
      <c r="C1382" s="207"/>
      <c r="D1382" s="432"/>
      <c r="E1382" s="432"/>
      <c r="G1382" s="432">
        <f>SUM(D1382:F1382)</f>
        <v>0</v>
      </c>
    </row>
    <row r="1383" spans="1:7">
      <c r="A1383" s="486" t="s">
        <v>671</v>
      </c>
      <c r="B1383" s="5" t="s">
        <v>768</v>
      </c>
      <c r="C1383" s="227" t="s">
        <v>506</v>
      </c>
      <c r="D1383" s="432">
        <v>112795</v>
      </c>
      <c r="E1383" s="432"/>
      <c r="F1383" s="5">
        <v>6500</v>
      </c>
      <c r="G1383" s="432">
        <f>SUM(D1383:F1383)</f>
        <v>119295</v>
      </c>
    </row>
    <row r="1384" spans="1:7">
      <c r="A1384" s="486"/>
      <c r="C1384" s="241" t="s">
        <v>121</v>
      </c>
      <c r="D1384" s="433">
        <v>45961</v>
      </c>
      <c r="E1384" s="433"/>
      <c r="G1384" s="433">
        <f>SUM(D1384:F1384)</f>
        <v>45961</v>
      </c>
    </row>
    <row r="1385" spans="1:7">
      <c r="A1385" s="486"/>
      <c r="C1385" s="232"/>
      <c r="D1385" s="432"/>
      <c r="E1385" s="432"/>
      <c r="G1385" s="432">
        <f>SUM(D1385:F1385)</f>
        <v>0</v>
      </c>
    </row>
    <row r="1386" spans="1:7">
      <c r="A1386" s="486" t="s">
        <v>843</v>
      </c>
      <c r="B1386" s="5" t="s">
        <v>768</v>
      </c>
      <c r="C1386" s="193" t="s">
        <v>360</v>
      </c>
      <c r="D1386" s="432">
        <v>30000</v>
      </c>
      <c r="E1386" s="432"/>
      <c r="G1386" s="432">
        <f>SUM(D1386:F1386)</f>
        <v>30000</v>
      </c>
    </row>
    <row r="1387" spans="1:7">
      <c r="A1387" s="486"/>
      <c r="C1387" s="181"/>
      <c r="D1387" s="432"/>
      <c r="E1387" s="432"/>
      <c r="G1387" s="432">
        <f>SUM(D1387:F1387)</f>
        <v>0</v>
      </c>
    </row>
    <row r="1388" spans="1:7">
      <c r="A1388" s="486"/>
      <c r="C1388" s="173"/>
      <c r="D1388" s="278"/>
      <c r="E1388" s="278"/>
      <c r="G1388" s="278">
        <f>SUM(D1388:F1388)</f>
        <v>0</v>
      </c>
    </row>
    <row r="1389" spans="1:7" ht="15.75">
      <c r="A1389" s="486"/>
      <c r="C1389" s="184" t="s">
        <v>361</v>
      </c>
      <c r="D1389" s="283"/>
      <c r="E1389" s="283"/>
      <c r="G1389" s="283">
        <f>SUM(D1389:F1389)</f>
        <v>0</v>
      </c>
    </row>
    <row r="1390" spans="1:7">
      <c r="A1390" s="486"/>
      <c r="C1390" s="198"/>
      <c r="D1390" s="387"/>
      <c r="E1390" s="387"/>
      <c r="G1390" s="387">
        <f>SUM(D1390:F1390)</f>
        <v>0</v>
      </c>
    </row>
    <row r="1391" spans="1:7">
      <c r="A1391" s="486"/>
      <c r="C1391" s="186" t="s">
        <v>240</v>
      </c>
      <c r="D1391" s="277">
        <f>D1398+D1404+D1416+D1420</f>
        <v>2133916</v>
      </c>
      <c r="E1391" s="277">
        <f>E1398+E1404+E1416+E1420</f>
        <v>42742</v>
      </c>
      <c r="F1391" s="277">
        <f>F1398+F1404+F1416+F1420</f>
        <v>4256</v>
      </c>
      <c r="G1391" s="277">
        <f>SUM(D1391:F1391)</f>
        <v>2180914</v>
      </c>
    </row>
    <row r="1392" spans="1:7">
      <c r="A1392" s="486"/>
      <c r="C1392" s="187" t="s">
        <v>825</v>
      </c>
      <c r="D1392" s="278">
        <v>63500</v>
      </c>
      <c r="E1392" s="278"/>
      <c r="F1392" s="278"/>
      <c r="G1392" s="278">
        <f>SUM(D1392:F1392)</f>
        <v>63500</v>
      </c>
    </row>
    <row r="1393" spans="1:26">
      <c r="A1393" s="486"/>
      <c r="C1393" s="188" t="s">
        <v>118</v>
      </c>
      <c r="D1393" s="277">
        <f>SUM(D1394:D1395)</f>
        <v>2133916</v>
      </c>
      <c r="E1393" s="277">
        <f>SUM(E1394:E1395)</f>
        <v>42742</v>
      </c>
      <c r="F1393" s="277">
        <f>SUM(F1394:F1395)</f>
        <v>4256</v>
      </c>
      <c r="G1393" s="277">
        <f>SUM(D1393:F1393)</f>
        <v>2180914</v>
      </c>
    </row>
    <row r="1394" spans="1:26">
      <c r="A1394" s="486"/>
      <c r="C1394" s="189" t="s">
        <v>119</v>
      </c>
      <c r="D1394" s="278">
        <f>'[3]2.2 OMATULUD'!B552</f>
        <v>287596</v>
      </c>
      <c r="E1394" s="278"/>
      <c r="F1394" s="278">
        <v>17900</v>
      </c>
      <c r="G1394" s="278">
        <f>SUM(D1394:F1394)</f>
        <v>305496</v>
      </c>
    </row>
    <row r="1395" spans="1:26">
      <c r="A1395" s="486"/>
      <c r="C1395" s="173" t="s">
        <v>120</v>
      </c>
      <c r="D1395" s="278">
        <f>D1391-D1394</f>
        <v>1846320</v>
      </c>
      <c r="E1395" s="278">
        <f>E1391-E1394</f>
        <v>42742</v>
      </c>
      <c r="F1395" s="278">
        <f>F1391-F1394</f>
        <v>-13644</v>
      </c>
      <c r="G1395" s="278">
        <f>SUM(D1395:F1395)</f>
        <v>1875418</v>
      </c>
    </row>
    <row r="1396" spans="1:26" s="493" customFormat="1">
      <c r="C1396" s="603" t="s">
        <v>884</v>
      </c>
      <c r="D1396" s="494">
        <f>D1402+D1408+D1413+D1423+D1432</f>
        <v>1183407</v>
      </c>
      <c r="E1396" s="494">
        <f>E1402+E1408+E1413+E1423+E1432</f>
        <v>31945</v>
      </c>
      <c r="F1396" s="494">
        <f>F1402+F1408+F1413+F1423+F1432</f>
        <v>-5223</v>
      </c>
      <c r="G1396" s="494">
        <f>SUM(D1396:F1396)</f>
        <v>1210129</v>
      </c>
      <c r="H1396" s="495"/>
      <c r="I1396" s="495"/>
      <c r="J1396" s="495"/>
      <c r="K1396" s="495"/>
      <c r="L1396" s="495"/>
      <c r="M1396" s="604"/>
      <c r="O1396" s="495"/>
      <c r="P1396" s="495"/>
      <c r="Q1396" s="495"/>
      <c r="R1396" s="604"/>
      <c r="T1396" s="495"/>
      <c r="U1396" s="495"/>
      <c r="V1396" s="495"/>
      <c r="W1396" s="604"/>
      <c r="Z1396" s="103"/>
    </row>
    <row r="1397" spans="1:26">
      <c r="A1397" s="486"/>
      <c r="C1397" s="96"/>
      <c r="D1397" s="277"/>
      <c r="E1397" s="277"/>
      <c r="G1397" s="277">
        <f>SUM(D1397:F1397)</f>
        <v>0</v>
      </c>
    </row>
    <row r="1398" spans="1:26" ht="15">
      <c r="A1398" s="486" t="s">
        <v>839</v>
      </c>
      <c r="B1398" s="5" t="s">
        <v>361</v>
      </c>
      <c r="C1398" s="389" t="s">
        <v>249</v>
      </c>
      <c r="D1398" s="298">
        <f>D1399</f>
        <v>90412</v>
      </c>
      <c r="E1398" s="298"/>
      <c r="G1398" s="298">
        <f>SUM(D1398:F1398)</f>
        <v>90412</v>
      </c>
    </row>
    <row r="1399" spans="1:26">
      <c r="A1399" s="486"/>
      <c r="C1399" s="390" t="s">
        <v>250</v>
      </c>
      <c r="D1399" s="431">
        <f>D1401</f>
        <v>90412</v>
      </c>
      <c r="E1399" s="431"/>
      <c r="G1399" s="431">
        <f>SUM(D1399:F1399)</f>
        <v>90412</v>
      </c>
    </row>
    <row r="1400" spans="1:26">
      <c r="A1400" s="486"/>
      <c r="C1400" s="391" t="s">
        <v>243</v>
      </c>
      <c r="D1400" s="281"/>
      <c r="E1400" s="281"/>
      <c r="G1400" s="281">
        <f>SUM(D1400:F1400)</f>
        <v>0</v>
      </c>
    </row>
    <row r="1401" spans="1:26">
      <c r="A1401" s="486"/>
      <c r="C1401" s="196" t="s">
        <v>507</v>
      </c>
      <c r="D1401" s="432">
        <v>90412</v>
      </c>
      <c r="E1401" s="432"/>
      <c r="G1401" s="432">
        <f>SUM(D1401:F1401)</f>
        <v>90412</v>
      </c>
    </row>
    <row r="1402" spans="1:26" ht="14.25" customHeight="1">
      <c r="A1402" s="486"/>
      <c r="C1402" s="243" t="s">
        <v>121</v>
      </c>
      <c r="D1402" s="433">
        <v>51962</v>
      </c>
      <c r="E1402" s="433"/>
      <c r="G1402" s="433">
        <f>SUM(D1402:F1402)</f>
        <v>51962</v>
      </c>
    </row>
    <row r="1403" spans="1:26">
      <c r="A1403" s="486"/>
      <c r="C1403" s="173"/>
      <c r="D1403" s="289"/>
      <c r="E1403" s="289"/>
      <c r="G1403" s="289">
        <f>SUM(D1403:F1403)</f>
        <v>0</v>
      </c>
    </row>
    <row r="1404" spans="1:26" ht="15">
      <c r="A1404" s="486" t="s">
        <v>773</v>
      </c>
      <c r="B1404" s="5" t="s">
        <v>361</v>
      </c>
      <c r="C1404" s="264" t="s">
        <v>252</v>
      </c>
      <c r="D1404" s="298">
        <f>D1405</f>
        <v>525820</v>
      </c>
      <c r="E1404" s="298"/>
      <c r="F1404" s="298">
        <f>F1405</f>
        <v>-1000</v>
      </c>
      <c r="G1404" s="298">
        <f>SUM(D1404:F1404)</f>
        <v>524820</v>
      </c>
    </row>
    <row r="1405" spans="1:26">
      <c r="A1405" s="486"/>
      <c r="C1405" s="266" t="s">
        <v>354</v>
      </c>
      <c r="D1405" s="285">
        <f>D1407+D1412</f>
        <v>525820</v>
      </c>
      <c r="E1405" s="285"/>
      <c r="F1405" s="285">
        <f>F1407+F1412</f>
        <v>-1000</v>
      </c>
      <c r="G1405" s="285">
        <f>SUM(D1405:F1405)</f>
        <v>524820</v>
      </c>
    </row>
    <row r="1406" spans="1:26">
      <c r="A1406" s="486"/>
      <c r="C1406" s="267" t="s">
        <v>243</v>
      </c>
      <c r="D1406" s="281"/>
      <c r="E1406" s="281"/>
      <c r="G1406" s="281">
        <f>SUM(D1406:F1406)</f>
        <v>0</v>
      </c>
    </row>
    <row r="1407" spans="1:26">
      <c r="A1407" s="486"/>
      <c r="C1407" s="268" t="s">
        <v>508</v>
      </c>
      <c r="D1407" s="432">
        <v>194165</v>
      </c>
      <c r="E1407" s="432"/>
      <c r="F1407" s="5">
        <v>-1800</v>
      </c>
      <c r="G1407" s="432">
        <f>SUM(D1407:F1407)</f>
        <v>192365</v>
      </c>
    </row>
    <row r="1408" spans="1:26">
      <c r="A1408" s="486"/>
      <c r="C1408" s="191" t="s">
        <v>121</v>
      </c>
      <c r="D1408" s="433">
        <v>112230</v>
      </c>
      <c r="E1408" s="433"/>
      <c r="G1408" s="433">
        <f>SUM(D1408:F1408)</f>
        <v>112230</v>
      </c>
    </row>
    <row r="1409" spans="1:7">
      <c r="A1409" s="486"/>
      <c r="C1409" s="207"/>
      <c r="D1409" s="289"/>
      <c r="E1409" s="289"/>
      <c r="G1409" s="289">
        <f>SUM(D1409:F1409)</f>
        <v>0</v>
      </c>
    </row>
    <row r="1410" spans="1:7">
      <c r="A1410" s="486"/>
      <c r="C1410" s="192"/>
      <c r="D1410" s="289"/>
      <c r="E1410" s="289"/>
      <c r="G1410" s="289">
        <f>SUM(D1410:F1410)</f>
        <v>0</v>
      </c>
    </row>
    <row r="1411" spans="1:7">
      <c r="A1411" s="486"/>
      <c r="C1411" s="267" t="s">
        <v>243</v>
      </c>
      <c r="D1411" s="289"/>
      <c r="E1411" s="289"/>
      <c r="G1411" s="289">
        <f>SUM(D1411:F1411)</f>
        <v>0</v>
      </c>
    </row>
    <row r="1412" spans="1:7" s="430" customFormat="1">
      <c r="A1412" s="486"/>
      <c r="C1412" s="268" t="s">
        <v>509</v>
      </c>
      <c r="D1412" s="432">
        <v>331655</v>
      </c>
      <c r="E1412" s="432"/>
      <c r="F1412" s="430">
        <v>800</v>
      </c>
      <c r="G1412" s="432">
        <f>SUM(D1412:F1412)</f>
        <v>332455</v>
      </c>
    </row>
    <row r="1413" spans="1:7">
      <c r="A1413" s="486"/>
      <c r="C1413" s="191" t="s">
        <v>121</v>
      </c>
      <c r="D1413" s="433">
        <v>235000</v>
      </c>
      <c r="E1413" s="433"/>
      <c r="G1413" s="433">
        <f>SUM(D1413:F1413)</f>
        <v>235000</v>
      </c>
    </row>
    <row r="1414" spans="1:7">
      <c r="A1414" s="486"/>
      <c r="C1414" s="191"/>
      <c r="D1414" s="289"/>
      <c r="E1414" s="289"/>
      <c r="G1414" s="289">
        <f>SUM(D1414:F1414)</f>
        <v>0</v>
      </c>
    </row>
    <row r="1415" spans="1:7">
      <c r="A1415" s="486"/>
      <c r="C1415" s="192"/>
      <c r="D1415" s="289"/>
      <c r="E1415" s="289"/>
      <c r="G1415" s="289">
        <f>SUM(D1415:F1415)</f>
        <v>0</v>
      </c>
    </row>
    <row r="1416" spans="1:7" ht="15">
      <c r="A1416" s="486" t="s">
        <v>674</v>
      </c>
      <c r="B1416" s="5" t="s">
        <v>361</v>
      </c>
      <c r="C1416" s="264" t="s">
        <v>349</v>
      </c>
      <c r="D1416" s="298">
        <f>D1417</f>
        <v>93750</v>
      </c>
      <c r="E1416" s="298"/>
      <c r="F1416" s="5">
        <f>F1417</f>
        <v>-4084</v>
      </c>
      <c r="G1416" s="298">
        <f>SUM(D1416:F1416)</f>
        <v>89666</v>
      </c>
    </row>
    <row r="1417" spans="1:7">
      <c r="A1417" s="486"/>
      <c r="C1417" s="181" t="s">
        <v>350</v>
      </c>
      <c r="D1417" s="285">
        <v>93750</v>
      </c>
      <c r="E1417" s="285"/>
      <c r="F1417" s="5">
        <v>-4084</v>
      </c>
      <c r="G1417" s="285">
        <f>SUM(D1417:F1417)</f>
        <v>89666</v>
      </c>
    </row>
    <row r="1418" spans="1:7">
      <c r="A1418" s="486"/>
      <c r="C1418" s="263"/>
      <c r="D1418" s="289"/>
      <c r="E1418" s="289"/>
      <c r="G1418" s="289">
        <f>SUM(D1418:F1418)</f>
        <v>0</v>
      </c>
    </row>
    <row r="1419" spans="1:7">
      <c r="A1419" s="486"/>
      <c r="C1419" s="383"/>
      <c r="D1419" s="301"/>
      <c r="E1419" s="301"/>
      <c r="G1419" s="301">
        <f>SUM(D1419:F1419)</f>
        <v>0</v>
      </c>
    </row>
    <row r="1420" spans="1:7">
      <c r="A1420" s="486"/>
      <c r="C1420" s="259" t="s">
        <v>244</v>
      </c>
      <c r="D1420" s="285">
        <f>D1422+D1425+D1427+D1429+D1431+D1434+D1436+D1438</f>
        <v>1423934</v>
      </c>
      <c r="E1420" s="285">
        <f t="shared" ref="E1420" si="57">E1422+E1425+E1427+E1429+E1431+E1434+E1436+E1438</f>
        <v>42742</v>
      </c>
      <c r="F1420" s="285">
        <f>F1422+F1425+F1427+F1429+F1431+F1434+F1436+F1438</f>
        <v>9340</v>
      </c>
      <c r="G1420" s="285">
        <f>SUM(D1420:F1420)</f>
        <v>1476016</v>
      </c>
    </row>
    <row r="1421" spans="1:7">
      <c r="A1421" s="486"/>
      <c r="C1421" s="259"/>
      <c r="D1421" s="289"/>
      <c r="E1421" s="289"/>
      <c r="G1421" s="289">
        <f>SUM(D1421:F1421)</f>
        <v>0</v>
      </c>
    </row>
    <row r="1422" spans="1:7">
      <c r="A1422" s="486" t="s">
        <v>678</v>
      </c>
      <c r="B1422" s="5" t="s">
        <v>361</v>
      </c>
      <c r="C1422" s="216" t="s">
        <v>355</v>
      </c>
      <c r="D1422" s="282">
        <f>1196457+1577</f>
        <v>1198034</v>
      </c>
      <c r="E1422" s="282">
        <v>42742</v>
      </c>
      <c r="F1422" s="605">
        <f>10000+5000-2345-4615</f>
        <v>8040</v>
      </c>
      <c r="G1422" s="282">
        <f>SUM(D1422:F1422)</f>
        <v>1248816</v>
      </c>
    </row>
    <row r="1423" spans="1:7">
      <c r="A1423" s="486"/>
      <c r="C1423" s="171" t="s">
        <v>121</v>
      </c>
      <c r="D1423" s="433">
        <f>771036+1179</f>
        <v>772215</v>
      </c>
      <c r="E1423" s="433">
        <v>31945</v>
      </c>
      <c r="F1423" s="544">
        <f>-1753-3470</f>
        <v>-5223</v>
      </c>
      <c r="G1423" s="433">
        <f>SUM(D1423:F1423)</f>
        <v>798937</v>
      </c>
    </row>
    <row r="1424" spans="1:7">
      <c r="A1424" s="486"/>
      <c r="C1424" s="232"/>
      <c r="D1424" s="289"/>
      <c r="E1424" s="289"/>
      <c r="F1424" s="618"/>
      <c r="G1424" s="289">
        <f>SUM(D1424:F1424)</f>
        <v>0</v>
      </c>
    </row>
    <row r="1425" spans="1:7" ht="25.5">
      <c r="A1425" s="486" t="s">
        <v>671</v>
      </c>
      <c r="B1425" s="5" t="s">
        <v>361</v>
      </c>
      <c r="C1425" s="269" t="s">
        <v>356</v>
      </c>
      <c r="D1425" s="282">
        <v>93600</v>
      </c>
      <c r="E1425" s="282"/>
      <c r="F1425" s="629">
        <v>14000</v>
      </c>
      <c r="G1425" s="282">
        <f>SUM(D1425:F1425)</f>
        <v>107600</v>
      </c>
    </row>
    <row r="1426" spans="1:7">
      <c r="A1426" s="486"/>
      <c r="C1426" s="233"/>
      <c r="D1426" s="289"/>
      <c r="E1426" s="289"/>
      <c r="G1426" s="289">
        <f>SUM(D1426:F1426)</f>
        <v>0</v>
      </c>
    </row>
    <row r="1427" spans="1:7">
      <c r="A1427" s="486" t="s">
        <v>773</v>
      </c>
      <c r="B1427" s="5" t="s">
        <v>361</v>
      </c>
      <c r="C1427" s="269" t="s">
        <v>357</v>
      </c>
      <c r="D1427" s="282">
        <v>33000</v>
      </c>
      <c r="E1427" s="282"/>
      <c r="G1427" s="282">
        <f>SUM(D1427:F1427)</f>
        <v>33000</v>
      </c>
    </row>
    <row r="1428" spans="1:7">
      <c r="A1428" s="486"/>
      <c r="C1428" s="233"/>
      <c r="D1428" s="289"/>
      <c r="E1428" s="289"/>
      <c r="G1428" s="289">
        <f>SUM(D1428:F1428)</f>
        <v>0</v>
      </c>
    </row>
    <row r="1429" spans="1:7">
      <c r="A1429" s="486" t="s">
        <v>773</v>
      </c>
      <c r="B1429" s="5" t="s">
        <v>361</v>
      </c>
      <c r="C1429" s="233" t="s">
        <v>503</v>
      </c>
      <c r="D1429" s="282">
        <v>5800</v>
      </c>
      <c r="E1429" s="282"/>
      <c r="G1429" s="282">
        <f>SUM(D1429:F1429)</f>
        <v>5800</v>
      </c>
    </row>
    <row r="1430" spans="1:7">
      <c r="A1430" s="486"/>
      <c r="C1430" s="233"/>
      <c r="D1430" s="289"/>
      <c r="E1430" s="289"/>
      <c r="G1430" s="289">
        <f>SUM(D1430:F1430)</f>
        <v>0</v>
      </c>
    </row>
    <row r="1431" spans="1:7">
      <c r="A1431" s="486" t="s">
        <v>674</v>
      </c>
      <c r="B1431" s="5" t="s">
        <v>361</v>
      </c>
      <c r="C1431" s="227" t="s">
        <v>351</v>
      </c>
      <c r="D1431" s="282">
        <f>30000+16100</f>
        <v>46100</v>
      </c>
      <c r="E1431" s="282"/>
      <c r="G1431" s="282">
        <f>SUM(D1431:F1431)</f>
        <v>46100</v>
      </c>
    </row>
    <row r="1432" spans="1:7">
      <c r="A1432" s="486"/>
      <c r="C1432" s="171" t="s">
        <v>121</v>
      </c>
      <c r="D1432" s="428">
        <v>12000</v>
      </c>
      <c r="E1432" s="428"/>
      <c r="G1432" s="428">
        <f>SUM(D1432:F1432)</f>
        <v>12000</v>
      </c>
    </row>
    <row r="1433" spans="1:7">
      <c r="A1433" s="486"/>
      <c r="C1433" s="227"/>
      <c r="D1433" s="289"/>
      <c r="E1433" s="289"/>
      <c r="G1433" s="289">
        <f>SUM(D1433:F1433)</f>
        <v>0</v>
      </c>
    </row>
    <row r="1434" spans="1:7">
      <c r="A1434" s="486" t="s">
        <v>676</v>
      </c>
      <c r="B1434" s="5" t="s">
        <v>361</v>
      </c>
      <c r="C1434" s="193" t="s">
        <v>359</v>
      </c>
      <c r="D1434" s="282">
        <v>28400</v>
      </c>
      <c r="E1434" s="282"/>
      <c r="G1434" s="282">
        <f>SUM(D1434:F1434)</f>
        <v>28400</v>
      </c>
    </row>
    <row r="1435" spans="1:7">
      <c r="A1435" s="486"/>
      <c r="C1435" s="240"/>
      <c r="D1435" s="289"/>
      <c r="E1435" s="289"/>
      <c r="G1435" s="289">
        <f>SUM(D1435:F1435)</f>
        <v>0</v>
      </c>
    </row>
    <row r="1436" spans="1:7">
      <c r="A1436" s="486" t="s">
        <v>676</v>
      </c>
      <c r="B1436" s="5" t="s">
        <v>361</v>
      </c>
      <c r="C1436" s="193" t="s">
        <v>319</v>
      </c>
      <c r="D1436" s="282">
        <v>4000</v>
      </c>
      <c r="E1436" s="282"/>
      <c r="G1436" s="282">
        <f>SUM(D1436:F1436)</f>
        <v>4000</v>
      </c>
    </row>
    <row r="1437" spans="1:7">
      <c r="A1437" s="486"/>
      <c r="C1437" s="172"/>
      <c r="D1437" s="289"/>
      <c r="E1437" s="289"/>
      <c r="G1437" s="289">
        <f>SUM(D1437:F1437)</f>
        <v>0</v>
      </c>
    </row>
    <row r="1438" spans="1:7">
      <c r="A1438" s="486" t="s">
        <v>843</v>
      </c>
      <c r="B1438" s="5" t="s">
        <v>361</v>
      </c>
      <c r="C1438" s="193" t="s">
        <v>360</v>
      </c>
      <c r="D1438" s="282">
        <v>15000</v>
      </c>
      <c r="E1438" s="282"/>
      <c r="F1438" s="5">
        <v>-12700</v>
      </c>
      <c r="G1438" s="282">
        <f>SUM(D1438:F1438)</f>
        <v>2300</v>
      </c>
    </row>
    <row r="1439" spans="1:7">
      <c r="A1439" s="486"/>
      <c r="C1439" s="193"/>
      <c r="D1439" s="282"/>
      <c r="E1439" s="282"/>
      <c r="G1439" s="282">
        <f>SUM(D1439:F1439)</f>
        <v>0</v>
      </c>
    </row>
    <row r="1440" spans="1:7">
      <c r="A1440" s="486"/>
      <c r="C1440" s="482"/>
      <c r="D1440" s="280"/>
      <c r="E1440" s="280"/>
      <c r="G1440" s="280">
        <f>SUM(D1440:F1440)</f>
        <v>0</v>
      </c>
    </row>
    <row r="1441" spans="1:26" ht="15.75">
      <c r="A1441" s="486"/>
      <c r="C1441" s="184" t="s">
        <v>362</v>
      </c>
      <c r="D1441" s="276"/>
      <c r="E1441" s="276"/>
      <c r="G1441" s="276">
        <f>SUM(D1441:F1441)</f>
        <v>0</v>
      </c>
    </row>
    <row r="1442" spans="1:26">
      <c r="A1442" s="486"/>
      <c r="C1442" s="198"/>
      <c r="D1442" s="210"/>
      <c r="E1442" s="210"/>
      <c r="G1442" s="210">
        <f>SUM(D1442:F1442)</f>
        <v>0</v>
      </c>
    </row>
    <row r="1443" spans="1:26">
      <c r="A1443" s="486"/>
      <c r="C1443" s="186" t="s">
        <v>240</v>
      </c>
      <c r="D1443" s="277">
        <f>D1450+D1455+D1461+D1468+D1487+D1492+D1501</f>
        <v>6245592</v>
      </c>
      <c r="E1443" s="277">
        <f>E1450+E1455+E1461+E1468+E1487+E1492+E1501</f>
        <v>79913</v>
      </c>
      <c r="F1443" s="277">
        <f>F1450+F1455+F1461+F1468+F1487+F1492+F1501</f>
        <v>11823</v>
      </c>
      <c r="G1443" s="277">
        <f>SUM(D1443:F1443)</f>
        <v>6337328</v>
      </c>
    </row>
    <row r="1444" spans="1:26">
      <c r="A1444" s="486"/>
      <c r="C1444" s="187" t="s">
        <v>825</v>
      </c>
      <c r="D1444" s="278">
        <v>550500</v>
      </c>
      <c r="E1444" s="278"/>
      <c r="F1444" s="278"/>
      <c r="G1444" s="278">
        <f>SUM(D1444:F1444)</f>
        <v>550500</v>
      </c>
    </row>
    <row r="1445" spans="1:26">
      <c r="A1445" s="486"/>
      <c r="C1445" s="197" t="s">
        <v>118</v>
      </c>
      <c r="D1445" s="279">
        <f>D1446+D1447</f>
        <v>6245592</v>
      </c>
      <c r="E1445" s="279">
        <f>E1446+E1447</f>
        <v>79913</v>
      </c>
      <c r="F1445" s="279">
        <f>F1446+F1447</f>
        <v>11823</v>
      </c>
      <c r="G1445" s="279">
        <f>SUM(D1445:F1445)</f>
        <v>6337328</v>
      </c>
    </row>
    <row r="1446" spans="1:26">
      <c r="A1446" s="486"/>
      <c r="C1446" s="189" t="s">
        <v>119</v>
      </c>
      <c r="D1446" s="278">
        <f>'[3]2.2 OMATULUD'!B578</f>
        <v>1351890</v>
      </c>
      <c r="E1446" s="278"/>
      <c r="F1446" s="278">
        <v>4850</v>
      </c>
      <c r="G1446" s="278">
        <f>SUM(D1446:F1446)</f>
        <v>1356740</v>
      </c>
    </row>
    <row r="1447" spans="1:26">
      <c r="A1447" s="486"/>
      <c r="C1447" s="173" t="s">
        <v>120</v>
      </c>
      <c r="D1447" s="278">
        <f>D1443-D1446</f>
        <v>4893702</v>
      </c>
      <c r="E1447" s="278">
        <f>E1443-E1446</f>
        <v>79913</v>
      </c>
      <c r="F1447" s="278">
        <f>F1443-F1446</f>
        <v>6973</v>
      </c>
      <c r="G1447" s="278">
        <f>SUM(D1447:F1447)</f>
        <v>4980588</v>
      </c>
    </row>
    <row r="1448" spans="1:26" s="493" customFormat="1">
      <c r="C1448" s="603" t="s">
        <v>884</v>
      </c>
      <c r="D1448" s="494">
        <f>D1452+D1459+D1465+D1473+D1484+D1479+D1489+D1504+D1515+D1518</f>
        <v>2860796</v>
      </c>
      <c r="E1448" s="494">
        <f>E1452+E1459+E1465+E1473+E1484+E1479+E1489+E1504+E1515+E1518</f>
        <v>59726</v>
      </c>
      <c r="F1448" s="494">
        <f>F1452+F1459+F1465+F1473+F1484+F1479+F1489+F1504+F1515+F1518</f>
        <v>-1409</v>
      </c>
      <c r="G1448" s="494">
        <f>SUM(D1448:F1448)</f>
        <v>2919113</v>
      </c>
      <c r="H1448" s="495"/>
      <c r="I1448" s="495"/>
      <c r="J1448" s="495"/>
      <c r="K1448" s="495"/>
      <c r="L1448" s="495"/>
      <c r="M1448" s="604"/>
      <c r="O1448" s="495"/>
      <c r="P1448" s="495"/>
      <c r="Q1448" s="495"/>
      <c r="R1448" s="604"/>
      <c r="T1448" s="495"/>
      <c r="U1448" s="495"/>
      <c r="V1448" s="495"/>
      <c r="W1448" s="604"/>
      <c r="Z1448" s="103"/>
    </row>
    <row r="1449" spans="1:26">
      <c r="A1449" s="486"/>
      <c r="C1449" s="173"/>
      <c r="D1449" s="278"/>
      <c r="E1449" s="278"/>
      <c r="G1449" s="278">
        <f>SUM(D1449:F1449)</f>
        <v>0</v>
      </c>
    </row>
    <row r="1450" spans="1:26" ht="15">
      <c r="A1450" s="486" t="s">
        <v>671</v>
      </c>
      <c r="B1450" s="5" t="s">
        <v>362</v>
      </c>
      <c r="C1450" s="264" t="s">
        <v>245</v>
      </c>
      <c r="D1450" s="328">
        <f>D1451</f>
        <v>411269</v>
      </c>
      <c r="E1450" s="328"/>
      <c r="F1450" s="328">
        <f>F1451</f>
        <v>12000</v>
      </c>
      <c r="G1450" s="328">
        <f>SUM(D1450:F1450)</f>
        <v>423269</v>
      </c>
    </row>
    <row r="1451" spans="1:26">
      <c r="A1451" s="486"/>
      <c r="C1451" s="181" t="s">
        <v>363</v>
      </c>
      <c r="D1451" s="291">
        <v>411269</v>
      </c>
      <c r="E1451" s="291"/>
      <c r="F1451" s="5">
        <v>12000</v>
      </c>
      <c r="G1451" s="291">
        <f>SUM(D1451:F1451)</f>
        <v>423269</v>
      </c>
    </row>
    <row r="1452" spans="1:26">
      <c r="A1452" s="486"/>
      <c r="C1452" s="182" t="s">
        <v>121</v>
      </c>
      <c r="D1452" s="281">
        <v>220279</v>
      </c>
      <c r="E1452" s="281"/>
      <c r="G1452" s="281">
        <f>SUM(D1452:F1452)</f>
        <v>220279</v>
      </c>
    </row>
    <row r="1453" spans="1:26">
      <c r="A1453" s="486"/>
      <c r="C1453" s="191"/>
      <c r="D1453" s="281"/>
      <c r="E1453" s="281"/>
      <c r="G1453" s="281">
        <f>SUM(D1453:F1453)</f>
        <v>0</v>
      </c>
    </row>
    <row r="1454" spans="1:26">
      <c r="A1454" s="486"/>
      <c r="C1454" s="180"/>
      <c r="D1454" s="295"/>
      <c r="E1454" s="295"/>
      <c r="G1454" s="295">
        <f>SUM(D1454:F1454)</f>
        <v>0</v>
      </c>
    </row>
    <row r="1455" spans="1:26" ht="15">
      <c r="A1455" s="486" t="s">
        <v>839</v>
      </c>
      <c r="B1455" s="5" t="s">
        <v>362</v>
      </c>
      <c r="C1455" s="272" t="s">
        <v>249</v>
      </c>
      <c r="D1455" s="331">
        <f>D1456</f>
        <v>122808</v>
      </c>
      <c r="E1455" s="331"/>
      <c r="F1455" s="331">
        <f>F1456</f>
        <v>-4000</v>
      </c>
      <c r="G1455" s="331">
        <f>SUM(D1455:F1455)</f>
        <v>118808</v>
      </c>
    </row>
    <row r="1456" spans="1:26">
      <c r="A1456" s="486"/>
      <c r="C1456" s="183" t="s">
        <v>250</v>
      </c>
      <c r="D1456" s="299">
        <f>D1458</f>
        <v>122808</v>
      </c>
      <c r="E1456" s="299"/>
      <c r="F1456" s="299">
        <f>F1458</f>
        <v>-4000</v>
      </c>
      <c r="G1456" s="299">
        <f>SUM(D1456:F1456)</f>
        <v>118808</v>
      </c>
    </row>
    <row r="1457" spans="1:7">
      <c r="A1457" s="486"/>
      <c r="C1457" s="265" t="s">
        <v>243</v>
      </c>
      <c r="D1457" s="299"/>
      <c r="E1457" s="299"/>
      <c r="G1457" s="299">
        <f>SUM(D1457:F1457)</f>
        <v>0</v>
      </c>
    </row>
    <row r="1458" spans="1:7">
      <c r="A1458" s="486"/>
      <c r="C1458" s="196" t="s">
        <v>364</v>
      </c>
      <c r="D1458" s="302">
        <v>122808</v>
      </c>
      <c r="E1458" s="302"/>
      <c r="F1458" s="5">
        <v>-4000</v>
      </c>
      <c r="G1458" s="302">
        <f>SUM(D1458:F1458)</f>
        <v>118808</v>
      </c>
    </row>
    <row r="1459" spans="1:7">
      <c r="A1459" s="486"/>
      <c r="C1459" s="243" t="s">
        <v>121</v>
      </c>
      <c r="D1459" s="287">
        <v>72939</v>
      </c>
      <c r="E1459" s="287"/>
      <c r="G1459" s="287">
        <f>SUM(D1459:F1459)</f>
        <v>72939</v>
      </c>
    </row>
    <row r="1460" spans="1:7">
      <c r="A1460" s="486"/>
      <c r="C1460" s="180"/>
      <c r="D1460" s="295"/>
      <c r="E1460" s="295"/>
      <c r="G1460" s="295">
        <f>SUM(D1460:F1460)</f>
        <v>0</v>
      </c>
    </row>
    <row r="1461" spans="1:7" ht="15">
      <c r="A1461" s="486" t="s">
        <v>824</v>
      </c>
      <c r="B1461" s="5" t="s">
        <v>362</v>
      </c>
      <c r="C1461" s="190" t="s">
        <v>247</v>
      </c>
      <c r="D1461" s="298">
        <f>D1462</f>
        <v>204349</v>
      </c>
      <c r="E1461" s="298"/>
      <c r="F1461" s="298">
        <f>F1462</f>
        <v>7000</v>
      </c>
      <c r="G1461" s="298">
        <f>SUM(D1461:F1461)</f>
        <v>211349</v>
      </c>
    </row>
    <row r="1462" spans="1:7">
      <c r="A1462" s="486"/>
      <c r="C1462" s="181" t="s">
        <v>248</v>
      </c>
      <c r="D1462" s="291">
        <f>D1464</f>
        <v>204349</v>
      </c>
      <c r="E1462" s="291"/>
      <c r="F1462" s="291">
        <f>F1464</f>
        <v>7000</v>
      </c>
      <c r="G1462" s="291">
        <f>SUM(D1462:F1462)</f>
        <v>211349</v>
      </c>
    </row>
    <row r="1463" spans="1:7">
      <c r="A1463" s="486"/>
      <c r="C1463" s="195" t="s">
        <v>243</v>
      </c>
      <c r="D1463" s="291"/>
      <c r="E1463" s="291"/>
      <c r="G1463" s="291">
        <f>SUM(D1463:F1463)</f>
        <v>0</v>
      </c>
    </row>
    <row r="1464" spans="1:7">
      <c r="A1464" s="486"/>
      <c r="C1464" s="196" t="s">
        <v>365</v>
      </c>
      <c r="D1464" s="302">
        <v>204349</v>
      </c>
      <c r="E1464" s="302"/>
      <c r="F1464" s="5">
        <v>7000</v>
      </c>
      <c r="G1464" s="302">
        <f>SUM(D1464:F1464)</f>
        <v>211349</v>
      </c>
    </row>
    <row r="1465" spans="1:7">
      <c r="A1465" s="486"/>
      <c r="C1465" s="191" t="s">
        <v>121</v>
      </c>
      <c r="D1465" s="281">
        <v>90050</v>
      </c>
      <c r="E1465" s="281"/>
      <c r="G1465" s="281">
        <f>SUM(D1465:F1465)</f>
        <v>90050</v>
      </c>
    </row>
    <row r="1466" spans="1:7">
      <c r="A1466" s="486"/>
      <c r="C1466" s="242"/>
      <c r="D1466" s="304"/>
      <c r="E1466" s="304"/>
      <c r="G1466" s="304">
        <f>SUM(D1466:F1466)</f>
        <v>0</v>
      </c>
    </row>
    <row r="1467" spans="1:7">
      <c r="A1467" s="486"/>
      <c r="C1467" s="192"/>
      <c r="D1467" s="289"/>
      <c r="E1467" s="289"/>
      <c r="G1467" s="289">
        <f>SUM(D1467:F1467)</f>
        <v>0</v>
      </c>
    </row>
    <row r="1468" spans="1:7" ht="15">
      <c r="A1468" s="486" t="s">
        <v>773</v>
      </c>
      <c r="B1468" s="5" t="s">
        <v>362</v>
      </c>
      <c r="C1468" s="264" t="s">
        <v>252</v>
      </c>
      <c r="D1468" s="328">
        <f>D1470+D1476</f>
        <v>1177952</v>
      </c>
      <c r="E1468" s="328"/>
      <c r="F1468" s="328">
        <f>F1470+F1476</f>
        <v>8000</v>
      </c>
      <c r="G1468" s="328">
        <f>SUM(D1468:F1468)</f>
        <v>1185952</v>
      </c>
    </row>
    <row r="1469" spans="1:7" ht="15">
      <c r="A1469" s="486"/>
      <c r="C1469" s="176"/>
      <c r="D1469" s="328"/>
      <c r="E1469" s="328"/>
      <c r="F1469" s="328"/>
      <c r="G1469" s="328">
        <f>SUM(D1469:F1469)</f>
        <v>0</v>
      </c>
    </row>
    <row r="1470" spans="1:7">
      <c r="A1470" s="486"/>
      <c r="C1470" s="229" t="s">
        <v>266</v>
      </c>
      <c r="D1470" s="277">
        <f>D1472</f>
        <v>277183</v>
      </c>
      <c r="E1470" s="277"/>
      <c r="F1470" s="277">
        <f>F1472</f>
        <v>6000</v>
      </c>
      <c r="G1470" s="277">
        <f>SUM(D1470:F1470)</f>
        <v>283183</v>
      </c>
    </row>
    <row r="1471" spans="1:7">
      <c r="A1471" s="486"/>
      <c r="C1471" s="267" t="s">
        <v>243</v>
      </c>
      <c r="D1471" s="277"/>
      <c r="E1471" s="277"/>
      <c r="G1471" s="277">
        <f>SUM(D1471:F1471)</f>
        <v>0</v>
      </c>
    </row>
    <row r="1472" spans="1:7">
      <c r="A1472" s="486"/>
      <c r="C1472" s="268" t="s">
        <v>366</v>
      </c>
      <c r="D1472" s="280">
        <v>277183</v>
      </c>
      <c r="E1472" s="280"/>
      <c r="F1472" s="5">
        <v>6000</v>
      </c>
      <c r="G1472" s="280">
        <f>SUM(D1472:F1472)</f>
        <v>283183</v>
      </c>
    </row>
    <row r="1473" spans="1:7">
      <c r="A1473" s="486"/>
      <c r="C1473" s="191" t="s">
        <v>121</v>
      </c>
      <c r="D1473" s="281">
        <v>172063</v>
      </c>
      <c r="E1473" s="281"/>
      <c r="F1473" s="5">
        <v>1600</v>
      </c>
      <c r="G1473" s="281">
        <f>SUM(D1473:F1473)</f>
        <v>173663</v>
      </c>
    </row>
    <row r="1474" spans="1:7" ht="15">
      <c r="A1474" s="486"/>
      <c r="C1474" s="176"/>
      <c r="D1474" s="328"/>
      <c r="E1474" s="328"/>
      <c r="G1474" s="328">
        <f>SUM(D1474:F1474)</f>
        <v>0</v>
      </c>
    </row>
    <row r="1475" spans="1:7" ht="15">
      <c r="A1475" s="486"/>
      <c r="C1475" s="176"/>
      <c r="D1475" s="328"/>
      <c r="E1475" s="328"/>
      <c r="G1475" s="328">
        <f>SUM(D1475:F1475)</f>
        <v>0</v>
      </c>
    </row>
    <row r="1476" spans="1:7">
      <c r="A1476" s="486"/>
      <c r="C1476" s="266" t="s">
        <v>354</v>
      </c>
      <c r="D1476" s="320">
        <f>D1478+D1483</f>
        <v>900769</v>
      </c>
      <c r="E1476" s="320"/>
      <c r="F1476" s="320">
        <f>F1478+F1483</f>
        <v>2000</v>
      </c>
      <c r="G1476" s="320">
        <f>SUM(D1476:F1476)</f>
        <v>902769</v>
      </c>
    </row>
    <row r="1477" spans="1:7">
      <c r="A1477" s="486"/>
      <c r="C1477" s="267" t="s">
        <v>243</v>
      </c>
      <c r="D1477" s="277"/>
      <c r="E1477" s="277"/>
      <c r="G1477" s="277">
        <f>SUM(D1477:F1477)</f>
        <v>0</v>
      </c>
    </row>
    <row r="1478" spans="1:7">
      <c r="A1478" s="486"/>
      <c r="C1478" s="268" t="s">
        <v>367</v>
      </c>
      <c r="D1478" s="280">
        <v>276957</v>
      </c>
      <c r="E1478" s="280"/>
      <c r="F1478" s="5">
        <v>2000</v>
      </c>
      <c r="G1478" s="280">
        <f>SUM(D1478:F1478)</f>
        <v>278957</v>
      </c>
    </row>
    <row r="1479" spans="1:7">
      <c r="A1479" s="486"/>
      <c r="C1479" s="191" t="s">
        <v>121</v>
      </c>
      <c r="D1479" s="281">
        <v>169620</v>
      </c>
      <c r="E1479" s="281"/>
      <c r="G1479" s="281">
        <f>SUM(D1479:F1479)</f>
        <v>169620</v>
      </c>
    </row>
    <row r="1480" spans="1:7">
      <c r="A1480" s="486"/>
      <c r="C1480" s="207"/>
      <c r="D1480" s="311"/>
      <c r="E1480" s="311"/>
      <c r="G1480" s="311">
        <f>SUM(D1480:F1480)</f>
        <v>0</v>
      </c>
    </row>
    <row r="1481" spans="1:7">
      <c r="A1481" s="486"/>
      <c r="C1481" s="268"/>
      <c r="D1481" s="280"/>
      <c r="E1481" s="280"/>
      <c r="G1481" s="280">
        <f>SUM(D1481:F1481)</f>
        <v>0</v>
      </c>
    </row>
    <row r="1482" spans="1:7">
      <c r="A1482" s="486"/>
      <c r="C1482" s="267" t="s">
        <v>243</v>
      </c>
      <c r="D1482" s="277"/>
      <c r="E1482" s="277"/>
      <c r="G1482" s="277">
        <f>SUM(D1482:F1482)</f>
        <v>0</v>
      </c>
    </row>
    <row r="1483" spans="1:7">
      <c r="A1483" s="486"/>
      <c r="C1483" s="268" t="s">
        <v>368</v>
      </c>
      <c r="D1483" s="280">
        <v>623812</v>
      </c>
      <c r="E1483" s="280"/>
      <c r="G1483" s="280">
        <f>SUM(D1483:F1483)</f>
        <v>623812</v>
      </c>
    </row>
    <row r="1484" spans="1:7">
      <c r="A1484" s="486"/>
      <c r="C1484" s="191" t="s">
        <v>121</v>
      </c>
      <c r="D1484" s="281">
        <v>455585</v>
      </c>
      <c r="E1484" s="281"/>
      <c r="G1484" s="281">
        <f>SUM(D1484:F1484)</f>
        <v>455585</v>
      </c>
    </row>
    <row r="1485" spans="1:7">
      <c r="A1485" s="486"/>
      <c r="C1485" s="207"/>
      <c r="D1485" s="311"/>
      <c r="E1485" s="311"/>
      <c r="G1485" s="311">
        <f>SUM(D1485:F1485)</f>
        <v>0</v>
      </c>
    </row>
    <row r="1486" spans="1:7">
      <c r="A1486" s="486"/>
      <c r="C1486" s="196"/>
      <c r="D1486" s="302"/>
      <c r="E1486" s="302"/>
      <c r="G1486" s="302">
        <f>SUM(D1486:F1486)</f>
        <v>0</v>
      </c>
    </row>
    <row r="1487" spans="1:7" ht="15">
      <c r="A1487" s="486" t="s">
        <v>674</v>
      </c>
      <c r="B1487" s="5" t="s">
        <v>362</v>
      </c>
      <c r="C1487" s="264" t="s">
        <v>349</v>
      </c>
      <c r="D1487" s="328">
        <f>D1488</f>
        <v>312600</v>
      </c>
      <c r="E1487" s="328"/>
      <c r="G1487" s="328">
        <f>SUM(D1487:F1487)</f>
        <v>312600</v>
      </c>
    </row>
    <row r="1488" spans="1:7">
      <c r="A1488" s="486"/>
      <c r="C1488" s="181" t="s">
        <v>350</v>
      </c>
      <c r="D1488" s="291">
        <f>296500+16100</f>
        <v>312600</v>
      </c>
      <c r="E1488" s="291"/>
      <c r="G1488" s="291">
        <f>SUM(D1488:F1488)</f>
        <v>312600</v>
      </c>
    </row>
    <row r="1489" spans="1:7">
      <c r="A1489" s="486"/>
      <c r="C1489" s="191" t="s">
        <v>121</v>
      </c>
      <c r="D1489" s="441">
        <v>12000</v>
      </c>
      <c r="E1489" s="441"/>
      <c r="G1489" s="441">
        <f>SUM(D1489:F1489)</f>
        <v>12000</v>
      </c>
    </row>
    <row r="1490" spans="1:7">
      <c r="A1490" s="486"/>
      <c r="C1490" s="263"/>
      <c r="D1490" s="302"/>
      <c r="E1490" s="302"/>
      <c r="G1490" s="302">
        <f>SUM(D1490:F1490)</f>
        <v>0</v>
      </c>
    </row>
    <row r="1491" spans="1:7">
      <c r="A1491" s="486"/>
      <c r="C1491" s="240"/>
      <c r="D1491" s="260"/>
      <c r="E1491" s="260"/>
      <c r="G1491" s="260">
        <f>SUM(D1491:F1491)</f>
        <v>0</v>
      </c>
    </row>
    <row r="1492" spans="1:7" ht="15">
      <c r="A1492" s="486" t="s">
        <v>676</v>
      </c>
      <c r="B1492" s="5" t="s">
        <v>362</v>
      </c>
      <c r="C1492" s="264" t="s">
        <v>316</v>
      </c>
      <c r="D1492" s="328">
        <f>D1493</f>
        <v>634168</v>
      </c>
      <c r="E1492" s="328"/>
      <c r="G1492" s="328">
        <f>SUM(D1492:F1492)</f>
        <v>634168</v>
      </c>
    </row>
    <row r="1493" spans="1:7">
      <c r="A1493" s="486"/>
      <c r="C1493" s="181" t="s">
        <v>317</v>
      </c>
      <c r="D1493" s="291">
        <f>D1495+D1499</f>
        <v>634168</v>
      </c>
      <c r="E1493" s="291"/>
      <c r="G1493" s="291">
        <f>SUM(D1493:F1493)</f>
        <v>634168</v>
      </c>
    </row>
    <row r="1494" spans="1:7">
      <c r="A1494" s="486"/>
      <c r="C1494" s="195" t="s">
        <v>243</v>
      </c>
      <c r="D1494" s="291"/>
      <c r="E1494" s="291"/>
      <c r="G1494" s="291">
        <f>SUM(D1494:F1494)</f>
        <v>0</v>
      </c>
    </row>
    <row r="1495" spans="1:7">
      <c r="A1495" s="486"/>
      <c r="C1495" s="196" t="s">
        <v>318</v>
      </c>
      <c r="D1495" s="302">
        <v>558168</v>
      </c>
      <c r="E1495" s="302"/>
      <c r="G1495" s="302">
        <f>SUM(D1495:F1495)</f>
        <v>558168</v>
      </c>
    </row>
    <row r="1496" spans="1:7">
      <c r="A1496" s="486"/>
      <c r="C1496" s="273"/>
      <c r="D1496" s="332"/>
      <c r="E1496" s="332"/>
      <c r="G1496" s="332">
        <f>SUM(D1496:F1496)</f>
        <v>0</v>
      </c>
    </row>
    <row r="1497" spans="1:7">
      <c r="A1497" s="486"/>
      <c r="C1497" s="173"/>
      <c r="D1497" s="278"/>
      <c r="E1497" s="278"/>
      <c r="G1497" s="278">
        <f>SUM(D1497:F1497)</f>
        <v>0</v>
      </c>
    </row>
    <row r="1498" spans="1:7">
      <c r="A1498" s="486"/>
      <c r="C1498" s="195" t="s">
        <v>347</v>
      </c>
      <c r="D1498" s="291"/>
      <c r="E1498" s="291"/>
      <c r="G1498" s="291">
        <f>SUM(D1498:F1498)</f>
        <v>0</v>
      </c>
    </row>
    <row r="1499" spans="1:7">
      <c r="A1499" s="486"/>
      <c r="C1499" s="196" t="s">
        <v>359</v>
      </c>
      <c r="D1499" s="302">
        <v>76000</v>
      </c>
      <c r="E1499" s="302"/>
      <c r="G1499" s="302">
        <f>SUM(D1499:F1499)</f>
        <v>76000</v>
      </c>
    </row>
    <row r="1500" spans="1:7">
      <c r="A1500" s="486"/>
      <c r="C1500" s="274"/>
      <c r="D1500" s="289"/>
      <c r="E1500" s="289"/>
      <c r="G1500" s="289">
        <f>SUM(D1500:F1500)</f>
        <v>0</v>
      </c>
    </row>
    <row r="1501" spans="1:7">
      <c r="A1501" s="486"/>
      <c r="C1501" s="259" t="s">
        <v>244</v>
      </c>
      <c r="D1501" s="323">
        <f>D1503+D1506+D1508+D1510+D1512+D1514+D1520+D1517</f>
        <v>3382446</v>
      </c>
      <c r="E1501" s="323">
        <f t="shared" ref="E1501" si="58">E1503+E1506+E1508+E1510+E1512+E1514+E1520+E1517</f>
        <v>79913</v>
      </c>
      <c r="F1501" s="323">
        <f>F1503+F1506+F1508+F1510+F1512+F1514+F1520+F1517</f>
        <v>-11177</v>
      </c>
      <c r="G1501" s="323">
        <f>SUM(D1501:F1501)</f>
        <v>3451182</v>
      </c>
    </row>
    <row r="1502" spans="1:7">
      <c r="A1502" s="486"/>
      <c r="C1502" s="259"/>
      <c r="D1502" s="323"/>
      <c r="E1502" s="323"/>
      <c r="G1502" s="323">
        <f>SUM(D1502:F1502)</f>
        <v>0</v>
      </c>
    </row>
    <row r="1503" spans="1:7">
      <c r="A1503" s="486" t="s">
        <v>678</v>
      </c>
      <c r="B1503" s="5" t="s">
        <v>362</v>
      </c>
      <c r="C1503" s="216" t="s">
        <v>355</v>
      </c>
      <c r="D1503" s="280">
        <f>2729230+970</f>
        <v>2730200</v>
      </c>
      <c r="E1503" s="280">
        <v>79913</v>
      </c>
      <c r="F1503" s="605">
        <f>9953-3979-7321+7320</f>
        <v>5973</v>
      </c>
      <c r="G1503" s="280">
        <f>SUM(D1503:F1503)</f>
        <v>2816086</v>
      </c>
    </row>
    <row r="1504" spans="1:7">
      <c r="A1504" s="486"/>
      <c r="C1504" s="171" t="s">
        <v>121</v>
      </c>
      <c r="D1504" s="281">
        <f>1554494+720+66</f>
        <v>1555280</v>
      </c>
      <c r="E1504" s="281">
        <v>59726</v>
      </c>
      <c r="F1504" s="542">
        <f>-2974-5505+5470</f>
        <v>-3009</v>
      </c>
      <c r="G1504" s="281">
        <f>SUM(D1504:F1504)</f>
        <v>1611997</v>
      </c>
    </row>
    <row r="1505" spans="1:7">
      <c r="A1505" s="486"/>
      <c r="C1505" s="233"/>
      <c r="D1505" s="210"/>
      <c r="E1505" s="210"/>
      <c r="G1505" s="210">
        <f>SUM(D1505:F1505)</f>
        <v>0</v>
      </c>
    </row>
    <row r="1506" spans="1:7" ht="25.5">
      <c r="A1506" s="486" t="s">
        <v>671</v>
      </c>
      <c r="B1506" s="5" t="s">
        <v>362</v>
      </c>
      <c r="C1506" s="269" t="s">
        <v>356</v>
      </c>
      <c r="D1506" s="329">
        <v>137500</v>
      </c>
      <c r="E1506" s="329"/>
      <c r="G1506" s="329">
        <f>SUM(D1506:F1506)</f>
        <v>137500</v>
      </c>
    </row>
    <row r="1507" spans="1:7">
      <c r="A1507" s="486"/>
      <c r="C1507" s="233"/>
      <c r="D1507" s="210"/>
      <c r="E1507" s="210"/>
      <c r="G1507" s="210">
        <f>SUM(D1507:F1507)</f>
        <v>0</v>
      </c>
    </row>
    <row r="1508" spans="1:7">
      <c r="A1508" s="486" t="s">
        <v>773</v>
      </c>
      <c r="B1508" s="5" t="s">
        <v>362</v>
      </c>
      <c r="C1508" s="269" t="s">
        <v>357</v>
      </c>
      <c r="D1508" s="329">
        <v>80000</v>
      </c>
      <c r="E1508" s="329"/>
      <c r="F1508" s="5">
        <v>1000</v>
      </c>
      <c r="G1508" s="329">
        <f>SUM(D1508:F1508)</f>
        <v>81000</v>
      </c>
    </row>
    <row r="1509" spans="1:7">
      <c r="A1509" s="486"/>
      <c r="C1509" s="233"/>
      <c r="D1509" s="210"/>
      <c r="E1509" s="210"/>
      <c r="G1509" s="210">
        <f>SUM(D1509:F1509)</f>
        <v>0</v>
      </c>
    </row>
    <row r="1510" spans="1:7">
      <c r="A1510" s="486" t="s">
        <v>674</v>
      </c>
      <c r="B1510" s="5" t="s">
        <v>362</v>
      </c>
      <c r="C1510" s="227" t="s">
        <v>351</v>
      </c>
      <c r="D1510" s="290">
        <v>64900</v>
      </c>
      <c r="E1510" s="290"/>
      <c r="F1510" s="5">
        <v>16850</v>
      </c>
      <c r="G1510" s="290">
        <f>SUM(D1510:F1510)</f>
        <v>81750</v>
      </c>
    </row>
    <row r="1511" spans="1:7">
      <c r="A1511" s="486"/>
      <c r="C1511" s="227"/>
      <c r="D1511" s="290"/>
      <c r="E1511" s="290"/>
      <c r="G1511" s="290">
        <f>SUM(D1511:F1511)</f>
        <v>0</v>
      </c>
    </row>
    <row r="1512" spans="1:7">
      <c r="A1512" s="486" t="s">
        <v>676</v>
      </c>
      <c r="B1512" s="5" t="s">
        <v>362</v>
      </c>
      <c r="C1512" s="193" t="s">
        <v>319</v>
      </c>
      <c r="D1512" s="282">
        <v>82680</v>
      </c>
      <c r="E1512" s="282"/>
      <c r="F1512" s="5">
        <v>-5000</v>
      </c>
      <c r="G1512" s="282">
        <f>SUM(D1512:F1512)</f>
        <v>77680</v>
      </c>
    </row>
    <row r="1513" spans="1:7">
      <c r="A1513" s="486"/>
      <c r="C1513" s="232"/>
      <c r="D1513" s="278"/>
      <c r="E1513" s="278"/>
      <c r="G1513" s="278">
        <f>SUM(D1513:F1513)</f>
        <v>0</v>
      </c>
    </row>
    <row r="1514" spans="1:7">
      <c r="A1514" s="486" t="s">
        <v>676</v>
      </c>
      <c r="B1514" s="5" t="s">
        <v>362</v>
      </c>
      <c r="C1514" s="216" t="s">
        <v>369</v>
      </c>
      <c r="D1514" s="280">
        <v>242406</v>
      </c>
      <c r="E1514" s="280"/>
      <c r="F1514" s="5">
        <v>-15000</v>
      </c>
      <c r="G1514" s="280">
        <f>SUM(D1514:F1514)</f>
        <v>227406</v>
      </c>
    </row>
    <row r="1515" spans="1:7">
      <c r="A1515" s="486"/>
      <c r="C1515" s="171" t="s">
        <v>121</v>
      </c>
      <c r="D1515" s="281">
        <v>94640</v>
      </c>
      <c r="E1515" s="281"/>
      <c r="G1515" s="281">
        <f>SUM(D1515:F1515)</f>
        <v>94640</v>
      </c>
    </row>
    <row r="1516" spans="1:7">
      <c r="A1516" s="486"/>
      <c r="C1516" s="171"/>
      <c r="D1516" s="281"/>
      <c r="E1516" s="281"/>
      <c r="G1516" s="281">
        <f>SUM(D1516:F1516)</f>
        <v>0</v>
      </c>
    </row>
    <row r="1517" spans="1:7">
      <c r="A1517" s="486" t="s">
        <v>676</v>
      </c>
      <c r="B1517" s="5" t="s">
        <v>362</v>
      </c>
      <c r="C1517" s="473" t="s">
        <v>1033</v>
      </c>
      <c r="D1517" s="280">
        <v>24760</v>
      </c>
      <c r="E1517" s="280"/>
      <c r="G1517" s="280">
        <f>SUM(D1517:F1517)</f>
        <v>24760</v>
      </c>
    </row>
    <row r="1518" spans="1:7">
      <c r="A1518" s="486"/>
      <c r="C1518" s="171" t="s">
        <v>121</v>
      </c>
      <c r="D1518" s="281">
        <v>18340</v>
      </c>
      <c r="E1518" s="281"/>
      <c r="G1518" s="281">
        <f>SUM(D1518:F1518)</f>
        <v>18340</v>
      </c>
    </row>
    <row r="1519" spans="1:7">
      <c r="A1519" s="486"/>
      <c r="C1519" s="232"/>
      <c r="D1519" s="278"/>
      <c r="E1519" s="278"/>
      <c r="G1519" s="278">
        <f>SUM(D1519:F1519)</f>
        <v>0</v>
      </c>
    </row>
    <row r="1520" spans="1:7">
      <c r="A1520" s="486" t="s">
        <v>843</v>
      </c>
      <c r="B1520" s="5" t="s">
        <v>362</v>
      </c>
      <c r="C1520" s="193" t="s">
        <v>360</v>
      </c>
      <c r="D1520" s="282">
        <v>20000</v>
      </c>
      <c r="E1520" s="282"/>
      <c r="F1520" s="5">
        <v>-15000</v>
      </c>
      <c r="G1520" s="282">
        <f>SUM(D1520:F1520)</f>
        <v>5000</v>
      </c>
    </row>
    <row r="1521" spans="1:26">
      <c r="A1521" s="486"/>
      <c r="C1521" s="198"/>
      <c r="D1521" s="210"/>
      <c r="E1521" s="210"/>
      <c r="G1521" s="210">
        <f>SUM(D1521:F1521)</f>
        <v>0</v>
      </c>
    </row>
    <row r="1522" spans="1:26">
      <c r="A1522" s="486"/>
      <c r="C1522" s="198"/>
      <c r="D1522" s="210"/>
      <c r="E1522" s="210"/>
      <c r="G1522" s="210">
        <f>SUM(D1522:F1522)</f>
        <v>0</v>
      </c>
    </row>
    <row r="1523" spans="1:26" ht="15.75">
      <c r="A1523" s="486"/>
      <c r="C1523" s="184" t="s">
        <v>370</v>
      </c>
      <c r="D1523" s="276"/>
      <c r="E1523" s="276"/>
      <c r="G1523" s="276">
        <f>SUM(D1523:F1523)</f>
        <v>0</v>
      </c>
    </row>
    <row r="1524" spans="1:26">
      <c r="A1524" s="486"/>
      <c r="C1524" s="198"/>
      <c r="D1524" s="210"/>
      <c r="E1524" s="210"/>
      <c r="G1524" s="210">
        <f>SUM(D1524:F1524)</f>
        <v>0</v>
      </c>
    </row>
    <row r="1525" spans="1:26">
      <c r="A1525" s="486"/>
      <c r="C1525" s="186" t="s">
        <v>240</v>
      </c>
      <c r="D1525" s="277">
        <f>D1532+D1556+D1560+D1543+D1537</f>
        <v>3198936</v>
      </c>
      <c r="E1525" s="277">
        <f>E1532+E1556+E1560+E1543+E1537</f>
        <v>47947</v>
      </c>
      <c r="F1525" s="277">
        <f>F1532+F1556+F1560+F1543+F1537</f>
        <v>192620</v>
      </c>
      <c r="G1525" s="277">
        <f>SUM(D1525:F1525)</f>
        <v>3439503</v>
      </c>
    </row>
    <row r="1526" spans="1:26">
      <c r="A1526" s="486"/>
      <c r="C1526" s="187" t="s">
        <v>825</v>
      </c>
      <c r="D1526" s="278">
        <v>175900</v>
      </c>
      <c r="E1526" s="278"/>
      <c r="F1526" s="278"/>
      <c r="G1526" s="278">
        <f>SUM(D1526:F1526)</f>
        <v>175900</v>
      </c>
    </row>
    <row r="1527" spans="1:26">
      <c r="A1527" s="486"/>
      <c r="C1527" s="197" t="s">
        <v>118</v>
      </c>
      <c r="D1527" s="279">
        <f>D1528+D1529</f>
        <v>3198936</v>
      </c>
      <c r="E1527" s="279">
        <f>E1528+E1529</f>
        <v>47947</v>
      </c>
      <c r="F1527" s="279">
        <f>F1528+F1529</f>
        <v>192620</v>
      </c>
      <c r="G1527" s="279">
        <f>SUM(D1527:F1527)</f>
        <v>3439503</v>
      </c>
    </row>
    <row r="1528" spans="1:26">
      <c r="A1528" s="486"/>
      <c r="C1528" s="189" t="s">
        <v>119</v>
      </c>
      <c r="D1528" s="278">
        <f>'[3]2.2 OMATULUD'!B640</f>
        <v>620600</v>
      </c>
      <c r="E1528" s="278"/>
      <c r="F1528" s="278">
        <v>29630</v>
      </c>
      <c r="G1528" s="278">
        <f>SUM(D1528:F1528)</f>
        <v>650230</v>
      </c>
    </row>
    <row r="1529" spans="1:26">
      <c r="A1529" s="486"/>
      <c r="C1529" s="173" t="s">
        <v>120</v>
      </c>
      <c r="D1529" s="278">
        <f>D1525-D1528</f>
        <v>2578336</v>
      </c>
      <c r="E1529" s="278">
        <f>E1525-E1528</f>
        <v>47947</v>
      </c>
      <c r="F1529" s="278">
        <f>F1525-F1528</f>
        <v>162990</v>
      </c>
      <c r="G1529" s="278">
        <f>SUM(D1529:F1529)</f>
        <v>2789273</v>
      </c>
    </row>
    <row r="1530" spans="1:26" s="493" customFormat="1">
      <c r="C1530" s="603" t="s">
        <v>884</v>
      </c>
      <c r="D1530" s="494">
        <f>D1534+D1541+D1548+D1553+D1563+D1573</f>
        <v>1687259</v>
      </c>
      <c r="E1530" s="494">
        <f>E1534+E1541+E1548+E1553+E1563+E1573</f>
        <v>35835</v>
      </c>
      <c r="F1530" s="494">
        <f>F1534+F1541+F1548+F1553+F1563+F1573</f>
        <v>-38032</v>
      </c>
      <c r="G1530" s="494">
        <f>SUM(D1530:F1530)</f>
        <v>1685062</v>
      </c>
      <c r="H1530" s="495"/>
      <c r="I1530" s="495"/>
      <c r="J1530" s="495"/>
      <c r="K1530" s="495"/>
      <c r="L1530" s="495"/>
      <c r="M1530" s="604"/>
      <c r="O1530" s="495"/>
      <c r="P1530" s="495"/>
      <c r="Q1530" s="495"/>
      <c r="R1530" s="604"/>
      <c r="T1530" s="495"/>
      <c r="U1530" s="495"/>
      <c r="V1530" s="495"/>
      <c r="W1530" s="604"/>
      <c r="Z1530" s="103"/>
    </row>
    <row r="1531" spans="1:26">
      <c r="A1531" s="486"/>
      <c r="C1531" s="173"/>
      <c r="D1531" s="278"/>
      <c r="E1531" s="278"/>
      <c r="G1531" s="278">
        <f>SUM(D1531:F1531)</f>
        <v>0</v>
      </c>
    </row>
    <row r="1532" spans="1:26" ht="15">
      <c r="A1532" s="486" t="s">
        <v>671</v>
      </c>
      <c r="B1532" s="5" t="s">
        <v>370</v>
      </c>
      <c r="C1532" s="264" t="s">
        <v>245</v>
      </c>
      <c r="D1532" s="328">
        <f>D1533</f>
        <v>180954</v>
      </c>
      <c r="E1532" s="328"/>
      <c r="F1532" s="328">
        <f>F1533</f>
        <v>-9590</v>
      </c>
      <c r="G1532" s="328">
        <f>SUM(D1532:F1532)</f>
        <v>171364</v>
      </c>
    </row>
    <row r="1533" spans="1:26">
      <c r="A1533" s="486"/>
      <c r="C1533" s="181" t="s">
        <v>826</v>
      </c>
      <c r="D1533" s="291">
        <v>180954</v>
      </c>
      <c r="E1533" s="291"/>
      <c r="F1533" s="5">
        <v>-9590</v>
      </c>
      <c r="G1533" s="291">
        <f>SUM(D1533:F1533)</f>
        <v>171364</v>
      </c>
    </row>
    <row r="1534" spans="1:26">
      <c r="A1534" s="486"/>
      <c r="C1534" s="182" t="s">
        <v>121</v>
      </c>
      <c r="D1534" s="281">
        <v>106247</v>
      </c>
      <c r="E1534" s="281"/>
      <c r="F1534" s="5">
        <v>-12000</v>
      </c>
      <c r="G1534" s="281">
        <f>SUM(D1534:F1534)</f>
        <v>94247</v>
      </c>
    </row>
    <row r="1535" spans="1:26">
      <c r="A1535" s="486"/>
      <c r="C1535" s="191"/>
      <c r="D1535" s="281"/>
      <c r="E1535" s="281"/>
      <c r="G1535" s="281">
        <f>SUM(D1535:F1535)</f>
        <v>0</v>
      </c>
    </row>
    <row r="1536" spans="1:26">
      <c r="A1536" s="486"/>
      <c r="C1536" s="180"/>
      <c r="D1536" s="295"/>
      <c r="E1536" s="295"/>
      <c r="G1536" s="295">
        <f>SUM(D1536:F1536)</f>
        <v>0</v>
      </c>
    </row>
    <row r="1537" spans="1:7" ht="15">
      <c r="A1537" s="486" t="s">
        <v>839</v>
      </c>
      <c r="B1537" s="5" t="s">
        <v>370</v>
      </c>
      <c r="C1537" s="272" t="s">
        <v>249</v>
      </c>
      <c r="D1537" s="331">
        <f>D1538</f>
        <v>120400</v>
      </c>
      <c r="E1537" s="331"/>
      <c r="F1537" s="331">
        <f>F1538</f>
        <v>4760</v>
      </c>
      <c r="G1537" s="331">
        <f>SUM(D1537:F1537)</f>
        <v>125160</v>
      </c>
    </row>
    <row r="1538" spans="1:7">
      <c r="A1538" s="486"/>
      <c r="C1538" s="183" t="s">
        <v>250</v>
      </c>
      <c r="D1538" s="299">
        <f>D1540</f>
        <v>120400</v>
      </c>
      <c r="E1538" s="299"/>
      <c r="F1538" s="299">
        <f>F1540</f>
        <v>4760</v>
      </c>
      <c r="G1538" s="299">
        <f>SUM(D1538:F1538)</f>
        <v>125160</v>
      </c>
    </row>
    <row r="1539" spans="1:7">
      <c r="A1539" s="486"/>
      <c r="C1539" s="265" t="s">
        <v>243</v>
      </c>
      <c r="D1539" s="299"/>
      <c r="E1539" s="299"/>
      <c r="G1539" s="299">
        <f>SUM(D1539:F1539)</f>
        <v>0</v>
      </c>
    </row>
    <row r="1540" spans="1:7">
      <c r="A1540" s="486"/>
      <c r="C1540" s="196" t="s">
        <v>827</v>
      </c>
      <c r="D1540" s="302">
        <v>120400</v>
      </c>
      <c r="E1540" s="302"/>
      <c r="F1540" s="5">
        <v>4760</v>
      </c>
      <c r="G1540" s="302">
        <f>SUM(D1540:F1540)</f>
        <v>125160</v>
      </c>
    </row>
    <row r="1541" spans="1:7">
      <c r="A1541" s="486"/>
      <c r="C1541" s="243" t="s">
        <v>121</v>
      </c>
      <c r="D1541" s="287">
        <v>69282</v>
      </c>
      <c r="E1541" s="287"/>
      <c r="G1541" s="287">
        <f>SUM(D1541:F1541)</f>
        <v>69282</v>
      </c>
    </row>
    <row r="1542" spans="1:7">
      <c r="A1542" s="486"/>
      <c r="C1542" s="180"/>
      <c r="D1542" s="295"/>
      <c r="E1542" s="295"/>
      <c r="G1542" s="295">
        <f>SUM(D1542:F1542)</f>
        <v>0</v>
      </c>
    </row>
    <row r="1543" spans="1:7" ht="15">
      <c r="A1543" s="486" t="s">
        <v>773</v>
      </c>
      <c r="B1543" s="5" t="s">
        <v>370</v>
      </c>
      <c r="C1543" s="264" t="s">
        <v>252</v>
      </c>
      <c r="D1543" s="328">
        <f>D1545</f>
        <v>773378</v>
      </c>
      <c r="E1543" s="328"/>
      <c r="G1543" s="328">
        <f>SUM(D1543:F1543)</f>
        <v>773378</v>
      </c>
    </row>
    <row r="1544" spans="1:7">
      <c r="A1544" s="486"/>
      <c r="C1544" s="414"/>
      <c r="D1544" s="285"/>
      <c r="E1544" s="285"/>
      <c r="G1544" s="285">
        <f>SUM(D1544:F1544)</f>
        <v>0</v>
      </c>
    </row>
    <row r="1545" spans="1:7">
      <c r="A1545" s="486"/>
      <c r="C1545" s="266" t="s">
        <v>354</v>
      </c>
      <c r="D1545" s="320">
        <f>D1547+D1552</f>
        <v>773378</v>
      </c>
      <c r="E1545" s="320"/>
      <c r="G1545" s="320">
        <f>SUM(D1545:F1545)</f>
        <v>773378</v>
      </c>
    </row>
    <row r="1546" spans="1:7">
      <c r="A1546" s="486"/>
      <c r="C1546" s="267" t="s">
        <v>243</v>
      </c>
      <c r="D1546" s="277"/>
      <c r="E1546" s="277"/>
      <c r="G1546" s="277">
        <f>SUM(D1546:F1546)</f>
        <v>0</v>
      </c>
    </row>
    <row r="1547" spans="1:7">
      <c r="A1547" s="486"/>
      <c r="C1547" s="268" t="s">
        <v>631</v>
      </c>
      <c r="D1547" s="280">
        <v>318438</v>
      </c>
      <c r="E1547" s="280"/>
      <c r="G1547" s="280">
        <f>SUM(D1547:F1547)</f>
        <v>318438</v>
      </c>
    </row>
    <row r="1548" spans="1:7">
      <c r="A1548" s="486"/>
      <c r="C1548" s="191" t="s">
        <v>121</v>
      </c>
      <c r="D1548" s="281">
        <v>165895</v>
      </c>
      <c r="E1548" s="281"/>
      <c r="G1548" s="281">
        <f>SUM(D1548:F1548)</f>
        <v>165895</v>
      </c>
    </row>
    <row r="1549" spans="1:7">
      <c r="A1549" s="486"/>
      <c r="C1549" s="191"/>
      <c r="D1549" s="281"/>
      <c r="E1549" s="281"/>
      <c r="G1549" s="281">
        <f>SUM(D1549:F1549)</f>
        <v>0</v>
      </c>
    </row>
    <row r="1550" spans="1:7">
      <c r="A1550" s="486"/>
      <c r="C1550" s="192"/>
      <c r="D1550" s="289"/>
      <c r="E1550" s="289"/>
      <c r="G1550" s="289">
        <f>SUM(D1550:F1550)</f>
        <v>0</v>
      </c>
    </row>
    <row r="1551" spans="1:7">
      <c r="A1551" s="486"/>
      <c r="C1551" s="267" t="s">
        <v>243</v>
      </c>
      <c r="D1551" s="277"/>
      <c r="E1551" s="277"/>
      <c r="G1551" s="277">
        <f>SUM(D1551:F1551)</f>
        <v>0</v>
      </c>
    </row>
    <row r="1552" spans="1:7">
      <c r="A1552" s="486"/>
      <c r="C1552" s="268" t="s">
        <v>632</v>
      </c>
      <c r="D1552" s="280">
        <v>454940</v>
      </c>
      <c r="E1552" s="280"/>
      <c r="G1552" s="280">
        <f>SUM(D1552:F1552)</f>
        <v>454940</v>
      </c>
    </row>
    <row r="1553" spans="1:7">
      <c r="A1553" s="486"/>
      <c r="C1553" s="191" t="s">
        <v>121</v>
      </c>
      <c r="D1553" s="281">
        <v>328105</v>
      </c>
      <c r="E1553" s="281"/>
      <c r="G1553" s="281">
        <f>SUM(D1553:F1553)</f>
        <v>328105</v>
      </c>
    </row>
    <row r="1554" spans="1:7">
      <c r="A1554" s="486"/>
      <c r="C1554" s="191"/>
      <c r="D1554" s="281"/>
      <c r="E1554" s="281"/>
      <c r="G1554" s="281">
        <f>SUM(D1554:F1554)</f>
        <v>0</v>
      </c>
    </row>
    <row r="1555" spans="1:7">
      <c r="A1555" s="486"/>
      <c r="C1555" s="201"/>
      <c r="D1555" s="302"/>
      <c r="E1555" s="302"/>
      <c r="G1555" s="302">
        <f>SUM(D1555:F1555)</f>
        <v>0</v>
      </c>
    </row>
    <row r="1556" spans="1:7" ht="15">
      <c r="A1556" s="486" t="s">
        <v>674</v>
      </c>
      <c r="B1556" s="5" t="s">
        <v>370</v>
      </c>
      <c r="C1556" s="264" t="s">
        <v>349</v>
      </c>
      <c r="D1556" s="328">
        <f>D1557</f>
        <v>157120</v>
      </c>
      <c r="E1556" s="328"/>
      <c r="F1556" s="5">
        <f>F1557</f>
        <v>74000</v>
      </c>
      <c r="G1556" s="328">
        <f>SUM(D1556:F1556)</f>
        <v>231120</v>
      </c>
    </row>
    <row r="1557" spans="1:7">
      <c r="A1557" s="486"/>
      <c r="C1557" s="181" t="s">
        <v>350</v>
      </c>
      <c r="D1557" s="291">
        <v>157120</v>
      </c>
      <c r="E1557" s="291"/>
      <c r="F1557" s="5">
        <v>74000</v>
      </c>
      <c r="G1557" s="291">
        <f>SUM(D1557:F1557)</f>
        <v>231120</v>
      </c>
    </row>
    <row r="1558" spans="1:7">
      <c r="A1558" s="486"/>
      <c r="C1558" s="263"/>
      <c r="D1558" s="302"/>
      <c r="E1558" s="302"/>
      <c r="G1558" s="302">
        <f>SUM(D1558:F1558)</f>
        <v>0</v>
      </c>
    </row>
    <row r="1559" spans="1:7">
      <c r="A1559" s="486"/>
      <c r="C1559" s="173"/>
      <c r="D1559" s="278"/>
      <c r="E1559" s="278"/>
      <c r="G1559" s="278">
        <f>SUM(D1559:F1559)</f>
        <v>0</v>
      </c>
    </row>
    <row r="1560" spans="1:7">
      <c r="A1560" s="486"/>
      <c r="C1560" s="259" t="s">
        <v>244</v>
      </c>
      <c r="D1560" s="323">
        <f>D1562+D1565+D1570+D1572+D1577+D1579+D1575+D1568</f>
        <v>1967084</v>
      </c>
      <c r="E1560" s="323">
        <f t="shared" ref="E1560" si="59">E1562+E1565+E1570+E1572+E1577+E1579+E1575+E1568</f>
        <v>47947</v>
      </c>
      <c r="F1560" s="323">
        <f>F1562+F1565+F1570+F1572+F1577+F1579+F1575+F1568</f>
        <v>123450</v>
      </c>
      <c r="G1560" s="323">
        <f>SUM(D1560:F1560)</f>
        <v>2138481</v>
      </c>
    </row>
    <row r="1561" spans="1:7">
      <c r="A1561" s="486"/>
      <c r="C1561" s="259"/>
      <c r="D1561" s="323"/>
      <c r="E1561" s="323"/>
      <c r="G1561" s="323">
        <f>SUM(D1561:F1561)</f>
        <v>0</v>
      </c>
    </row>
    <row r="1562" spans="1:7">
      <c r="A1562" s="486" t="s">
        <v>678</v>
      </c>
      <c r="B1562" s="5" t="s">
        <v>370</v>
      </c>
      <c r="C1562" s="216" t="s">
        <v>355</v>
      </c>
      <c r="D1562" s="280">
        <f>1553857+42572</f>
        <v>1596429</v>
      </c>
      <c r="E1562" s="280">
        <v>47947</v>
      </c>
      <c r="F1562" s="5">
        <v>-34610</v>
      </c>
      <c r="G1562" s="280">
        <f>SUM(D1562:F1562)</f>
        <v>1609766</v>
      </c>
    </row>
    <row r="1563" spans="1:7">
      <c r="A1563" s="486"/>
      <c r="C1563" s="171" t="s">
        <v>121</v>
      </c>
      <c r="D1563" s="281">
        <f>980240+31440</f>
        <v>1011680</v>
      </c>
      <c r="E1563" s="281">
        <v>35835</v>
      </c>
      <c r="F1563" s="5">
        <v>-26032</v>
      </c>
      <c r="G1563" s="281">
        <f>SUM(D1563:F1563)</f>
        <v>1021483</v>
      </c>
    </row>
    <row r="1564" spans="1:7">
      <c r="A1564" s="486"/>
      <c r="C1564" s="193"/>
      <c r="D1564" s="282"/>
      <c r="E1564" s="282"/>
      <c r="G1564" s="282">
        <f>SUM(D1564:F1564)</f>
        <v>0</v>
      </c>
    </row>
    <row r="1565" spans="1:7" ht="25.5">
      <c r="A1565" s="486" t="s">
        <v>671</v>
      </c>
      <c r="B1565" s="5" t="s">
        <v>370</v>
      </c>
      <c r="C1565" s="269" t="s">
        <v>356</v>
      </c>
      <c r="D1565" s="329">
        <v>71000</v>
      </c>
      <c r="E1565" s="329"/>
      <c r="F1565" s="5">
        <v>22000</v>
      </c>
      <c r="G1565" s="329">
        <f>SUM(D1565:F1565)</f>
        <v>93000</v>
      </c>
    </row>
    <row r="1566" spans="1:7">
      <c r="A1566" s="486"/>
      <c r="C1566" s="171" t="s">
        <v>633</v>
      </c>
      <c r="D1566" s="281">
        <v>500</v>
      </c>
      <c r="E1566" s="281"/>
      <c r="G1566" s="281">
        <f>SUM(D1566:F1566)</f>
        <v>500</v>
      </c>
    </row>
    <row r="1567" spans="1:7">
      <c r="A1567" s="486"/>
      <c r="C1567" s="233"/>
      <c r="D1567" s="210"/>
      <c r="E1567" s="210"/>
      <c r="G1567" s="210">
        <f>SUM(D1567:F1567)</f>
        <v>0</v>
      </c>
    </row>
    <row r="1568" spans="1:7">
      <c r="A1568" s="486" t="s">
        <v>773</v>
      </c>
      <c r="B1568" s="5" t="s">
        <v>370</v>
      </c>
      <c r="C1568" s="269" t="s">
        <v>357</v>
      </c>
      <c r="D1568" s="329">
        <v>57000</v>
      </c>
      <c r="E1568" s="329"/>
      <c r="G1568" s="329">
        <f>SUM(D1568:F1568)</f>
        <v>57000</v>
      </c>
    </row>
    <row r="1569" spans="1:7">
      <c r="A1569" s="486"/>
      <c r="C1569" s="233"/>
      <c r="D1569" s="210"/>
      <c r="E1569" s="210"/>
      <c r="G1569" s="210">
        <f>SUM(D1569:F1569)</f>
        <v>0</v>
      </c>
    </row>
    <row r="1570" spans="1:7">
      <c r="A1570" s="486" t="s">
        <v>773</v>
      </c>
      <c r="B1570" s="5" t="s">
        <v>370</v>
      </c>
      <c r="C1570" s="233" t="s">
        <v>503</v>
      </c>
      <c r="D1570" s="210">
        <v>4000</v>
      </c>
      <c r="E1570" s="210"/>
      <c r="F1570" s="5">
        <v>1000</v>
      </c>
      <c r="G1570" s="210">
        <f>SUM(D1570:F1570)</f>
        <v>5000</v>
      </c>
    </row>
    <row r="1571" spans="1:7">
      <c r="A1571" s="486"/>
      <c r="C1571" s="232"/>
      <c r="D1571" s="278"/>
      <c r="E1571" s="278"/>
      <c r="G1571" s="278">
        <f>SUM(D1571:F1571)</f>
        <v>0</v>
      </c>
    </row>
    <row r="1572" spans="1:7">
      <c r="A1572" s="486" t="s">
        <v>674</v>
      </c>
      <c r="B1572" s="5" t="s">
        <v>370</v>
      </c>
      <c r="C1572" s="227" t="s">
        <v>351</v>
      </c>
      <c r="D1572" s="290">
        <f>66855+8100+20000</f>
        <v>94955</v>
      </c>
      <c r="E1572" s="290"/>
      <c r="F1572" s="5">
        <v>146060</v>
      </c>
      <c r="G1572" s="290">
        <f>SUM(D1572:F1572)</f>
        <v>241015</v>
      </c>
    </row>
    <row r="1573" spans="1:7">
      <c r="A1573" s="486"/>
      <c r="C1573" s="171" t="s">
        <v>121</v>
      </c>
      <c r="D1573" s="281">
        <v>6050</v>
      </c>
      <c r="E1573" s="281"/>
      <c r="G1573" s="281">
        <f>SUM(D1573:F1573)</f>
        <v>6050</v>
      </c>
    </row>
    <row r="1574" spans="1:7">
      <c r="A1574" s="486"/>
      <c r="C1574" s="193"/>
      <c r="D1574" s="282"/>
      <c r="E1574" s="282"/>
      <c r="G1574" s="282">
        <f>SUM(D1574:F1574)</f>
        <v>0</v>
      </c>
    </row>
    <row r="1575" spans="1:7">
      <c r="A1575" s="486" t="s">
        <v>676</v>
      </c>
      <c r="B1575" s="5" t="s">
        <v>370</v>
      </c>
      <c r="C1575" s="193" t="s">
        <v>359</v>
      </c>
      <c r="D1575" s="282">
        <v>41600</v>
      </c>
      <c r="E1575" s="282"/>
      <c r="G1575" s="282">
        <f>SUM(D1575:F1575)</f>
        <v>41600</v>
      </c>
    </row>
    <row r="1576" spans="1:7">
      <c r="A1576" s="486"/>
      <c r="C1576" s="227"/>
      <c r="D1576" s="290"/>
      <c r="E1576" s="290"/>
      <c r="G1576" s="290">
        <f>SUM(D1576:F1576)</f>
        <v>0</v>
      </c>
    </row>
    <row r="1577" spans="1:7">
      <c r="A1577" s="486" t="s">
        <v>676</v>
      </c>
      <c r="B1577" s="5" t="s">
        <v>370</v>
      </c>
      <c r="C1577" s="193" t="s">
        <v>319</v>
      </c>
      <c r="D1577" s="282">
        <v>78600</v>
      </c>
      <c r="E1577" s="282"/>
      <c r="G1577" s="282">
        <f>SUM(D1577:F1577)</f>
        <v>78600</v>
      </c>
    </row>
    <row r="1578" spans="1:7">
      <c r="A1578" s="486"/>
      <c r="C1578" s="232"/>
      <c r="D1578" s="278"/>
      <c r="E1578" s="278"/>
      <c r="G1578" s="278">
        <f>SUM(D1578:F1578)</f>
        <v>0</v>
      </c>
    </row>
    <row r="1579" spans="1:7">
      <c r="A1579" s="486" t="s">
        <v>843</v>
      </c>
      <c r="B1579" s="5" t="s">
        <v>370</v>
      </c>
      <c r="C1579" s="193" t="s">
        <v>360</v>
      </c>
      <c r="D1579" s="282">
        <v>23500</v>
      </c>
      <c r="E1579" s="282"/>
      <c r="F1579" s="5">
        <v>-11000</v>
      </c>
      <c r="G1579" s="282">
        <f>SUM(D1579:F1579)</f>
        <v>12500</v>
      </c>
    </row>
    <row r="1580" spans="1:7">
      <c r="A1580" s="486"/>
      <c r="C1580" s="198"/>
      <c r="D1580" s="210"/>
      <c r="E1580" s="210"/>
      <c r="G1580" s="282">
        <f>SUM(D1580:F1580)</f>
        <v>0</v>
      </c>
    </row>
    <row r="1581" spans="1:7">
      <c r="A1581" s="486"/>
      <c r="C1581" s="198"/>
      <c r="D1581" s="210"/>
      <c r="E1581" s="210"/>
      <c r="G1581" s="210">
        <f>SUM(D1581:F1581)</f>
        <v>0</v>
      </c>
    </row>
    <row r="1582" spans="1:7" ht="15.75">
      <c r="A1582" s="486"/>
      <c r="C1582" s="184" t="s">
        <v>371</v>
      </c>
      <c r="D1582" s="276"/>
      <c r="E1582" s="276"/>
      <c r="G1582" s="276">
        <f>SUM(D1582:F1582)</f>
        <v>0</v>
      </c>
    </row>
    <row r="1583" spans="1:7">
      <c r="A1583" s="486"/>
      <c r="C1583" s="198"/>
      <c r="D1583" s="210"/>
      <c r="E1583" s="210"/>
      <c r="G1583" s="210">
        <f>SUM(D1583:F1583)</f>
        <v>0</v>
      </c>
    </row>
    <row r="1584" spans="1:7">
      <c r="A1584" s="486"/>
      <c r="C1584" s="186" t="s">
        <v>240</v>
      </c>
      <c r="D1584" s="277">
        <f>D1591+D1603+D1637+D1633+D1596</f>
        <v>3227436</v>
      </c>
      <c r="E1584" s="277">
        <f>E1591+E1603+E1637+E1633+E1596</f>
        <v>46204</v>
      </c>
      <c r="F1584" s="277">
        <f>F1591+F1603+F1637+F1633+F1596</f>
        <v>26720</v>
      </c>
      <c r="G1584" s="277">
        <f>SUM(D1584:F1584)</f>
        <v>3300360</v>
      </c>
    </row>
    <row r="1585" spans="1:26">
      <c r="A1585" s="486"/>
      <c r="C1585" s="187" t="s">
        <v>825</v>
      </c>
      <c r="D1585" s="278">
        <v>205600</v>
      </c>
      <c r="E1585" s="278"/>
      <c r="F1585" s="278"/>
      <c r="G1585" s="278">
        <f>SUM(D1585:F1585)</f>
        <v>205600</v>
      </c>
    </row>
    <row r="1586" spans="1:26">
      <c r="A1586" s="486"/>
      <c r="C1586" s="197" t="s">
        <v>118</v>
      </c>
      <c r="D1586" s="279">
        <f>D1587+D1588</f>
        <v>3227436</v>
      </c>
      <c r="E1586" s="279">
        <f>E1587+E1588</f>
        <v>46204</v>
      </c>
      <c r="F1586" s="279">
        <f>F1587+F1588</f>
        <v>26720</v>
      </c>
      <c r="G1586" s="279">
        <f>SUM(D1586:F1586)</f>
        <v>3300360</v>
      </c>
    </row>
    <row r="1587" spans="1:26">
      <c r="A1587" s="486"/>
      <c r="C1587" s="189" t="s">
        <v>119</v>
      </c>
      <c r="D1587" s="278">
        <f>'[3]2.2 OMATULUD'!B676</f>
        <v>698680</v>
      </c>
      <c r="E1587" s="278"/>
      <c r="F1587" s="278">
        <v>26035</v>
      </c>
      <c r="G1587" s="278">
        <f>SUM(D1587:F1587)</f>
        <v>724715</v>
      </c>
    </row>
    <row r="1588" spans="1:26">
      <c r="A1588" s="486"/>
      <c r="C1588" s="173" t="s">
        <v>120</v>
      </c>
      <c r="D1588" s="278">
        <f>D1584-D1587</f>
        <v>2528756</v>
      </c>
      <c r="E1588" s="278">
        <f>E1584-E1587</f>
        <v>46204</v>
      </c>
      <c r="F1588" s="278">
        <f>F1584-F1587</f>
        <v>685</v>
      </c>
      <c r="G1588" s="278">
        <f>SUM(D1588:F1588)</f>
        <v>2575645</v>
      </c>
    </row>
    <row r="1589" spans="1:26" s="493" customFormat="1">
      <c r="C1589" s="603" t="s">
        <v>884</v>
      </c>
      <c r="D1589" s="494">
        <f>D1593+D1600+D1608+D1614+D1620+D1625+D1630+D1640+D1647+D1654</f>
        <v>1523732</v>
      </c>
      <c r="E1589" s="494">
        <f t="shared" ref="E1589" si="60">E1593+E1600+E1608+E1614+E1620+E1625+E1630+E1640+E1647+E1654</f>
        <v>34532</v>
      </c>
      <c r="F1589" s="494">
        <f>F1593+F1600+F1608+F1614+F1620+F1625+F1630+F1640+F1647+F1654</f>
        <v>-5298</v>
      </c>
      <c r="G1589" s="494">
        <f>SUM(D1589:F1589)</f>
        <v>1552966</v>
      </c>
      <c r="H1589" s="495"/>
      <c r="I1589" s="495"/>
      <c r="J1589" s="495"/>
      <c r="K1589" s="495"/>
      <c r="L1589" s="495"/>
      <c r="M1589" s="604"/>
      <c r="O1589" s="495"/>
      <c r="P1589" s="495"/>
      <c r="Q1589" s="495"/>
      <c r="R1589" s="604"/>
      <c r="T1589" s="495"/>
      <c r="U1589" s="495"/>
      <c r="V1589" s="495"/>
      <c r="W1589" s="604"/>
      <c r="Z1589" s="103"/>
    </row>
    <row r="1590" spans="1:26">
      <c r="A1590" s="486"/>
      <c r="C1590" s="173"/>
      <c r="D1590" s="278"/>
      <c r="E1590" s="278"/>
      <c r="G1590" s="278">
        <f>SUM(D1590:F1590)</f>
        <v>0</v>
      </c>
    </row>
    <row r="1591" spans="1:26" ht="15">
      <c r="A1591" s="486" t="s">
        <v>671</v>
      </c>
      <c r="B1591" s="5" t="s">
        <v>371</v>
      </c>
      <c r="C1591" s="264" t="s">
        <v>245</v>
      </c>
      <c r="D1591" s="328">
        <f>D1592</f>
        <v>278564</v>
      </c>
      <c r="E1591" s="328"/>
      <c r="F1591" s="328">
        <f>F1592</f>
        <v>17658</v>
      </c>
      <c r="G1591" s="328">
        <f>SUM(D1591:F1591)</f>
        <v>296222</v>
      </c>
    </row>
    <row r="1592" spans="1:26">
      <c r="A1592" s="486"/>
      <c r="C1592" s="181" t="s">
        <v>634</v>
      </c>
      <c r="D1592" s="291">
        <v>278564</v>
      </c>
      <c r="E1592" s="291"/>
      <c r="F1592" s="5">
        <v>17658</v>
      </c>
      <c r="G1592" s="291">
        <f>SUM(D1592:F1592)</f>
        <v>296222</v>
      </c>
    </row>
    <row r="1593" spans="1:26">
      <c r="A1593" s="486"/>
      <c r="C1593" s="182" t="s">
        <v>121</v>
      </c>
      <c r="D1593" s="281">
        <v>146308</v>
      </c>
      <c r="E1593" s="281"/>
      <c r="F1593" s="5">
        <v>5792</v>
      </c>
      <c r="G1593" s="281">
        <f>SUM(D1593:F1593)</f>
        <v>152100</v>
      </c>
    </row>
    <row r="1594" spans="1:26">
      <c r="A1594" s="486"/>
      <c r="C1594" s="191"/>
      <c r="D1594" s="281"/>
      <c r="E1594" s="281"/>
      <c r="G1594" s="281">
        <f>SUM(D1594:F1594)</f>
        <v>0</v>
      </c>
    </row>
    <row r="1595" spans="1:26">
      <c r="A1595" s="486"/>
      <c r="C1595" s="180"/>
      <c r="D1595" s="295"/>
      <c r="E1595" s="295"/>
      <c r="G1595" s="295">
        <f>SUM(D1595:F1595)</f>
        <v>0</v>
      </c>
    </row>
    <row r="1596" spans="1:26" ht="15">
      <c r="A1596" s="486" t="s">
        <v>839</v>
      </c>
      <c r="B1596" s="5" t="s">
        <v>371</v>
      </c>
      <c r="C1596" s="264" t="s">
        <v>249</v>
      </c>
      <c r="D1596" s="328">
        <f>D1597</f>
        <v>151845</v>
      </c>
      <c r="E1596" s="328"/>
      <c r="F1596" s="328">
        <f>F1597</f>
        <v>2905</v>
      </c>
      <c r="G1596" s="328">
        <f>SUM(D1596:F1596)</f>
        <v>154750</v>
      </c>
    </row>
    <row r="1597" spans="1:26">
      <c r="A1597" s="486"/>
      <c r="C1597" s="181" t="s">
        <v>250</v>
      </c>
      <c r="D1597" s="291">
        <f>D1599</f>
        <v>151845</v>
      </c>
      <c r="E1597" s="291"/>
      <c r="F1597" s="291">
        <f>F1599</f>
        <v>2905</v>
      </c>
      <c r="G1597" s="291">
        <f>SUM(D1597:F1597)</f>
        <v>154750</v>
      </c>
    </row>
    <row r="1598" spans="1:26">
      <c r="A1598" s="486"/>
      <c r="C1598" s="267" t="s">
        <v>243</v>
      </c>
      <c r="D1598" s="277"/>
      <c r="E1598" s="277"/>
      <c r="G1598" s="277">
        <f>SUM(D1598:F1598)</f>
        <v>0</v>
      </c>
    </row>
    <row r="1599" spans="1:26">
      <c r="A1599" s="486"/>
      <c r="C1599" s="268" t="s">
        <v>635</v>
      </c>
      <c r="D1599" s="280">
        <v>151845</v>
      </c>
      <c r="E1599" s="280"/>
      <c r="F1599" s="5">
        <v>2905</v>
      </c>
      <c r="G1599" s="280">
        <f>SUM(D1599:F1599)</f>
        <v>154750</v>
      </c>
    </row>
    <row r="1600" spans="1:26">
      <c r="A1600" s="486"/>
      <c r="C1600" s="191" t="s">
        <v>121</v>
      </c>
      <c r="D1600" s="281">
        <v>88680</v>
      </c>
      <c r="E1600" s="281"/>
      <c r="G1600" s="281">
        <f>SUM(D1600:F1600)</f>
        <v>88680</v>
      </c>
    </row>
    <row r="1601" spans="1:7">
      <c r="A1601" s="486"/>
      <c r="C1601" s="270"/>
      <c r="D1601" s="330"/>
      <c r="E1601" s="330"/>
      <c r="G1601" s="330">
        <f>SUM(D1601:F1601)</f>
        <v>0</v>
      </c>
    </row>
    <row r="1602" spans="1:7">
      <c r="A1602" s="486"/>
      <c r="C1602" s="192"/>
      <c r="D1602" s="289"/>
      <c r="E1602" s="289"/>
      <c r="G1602" s="289">
        <f>SUM(D1602:F1602)</f>
        <v>0</v>
      </c>
    </row>
    <row r="1603" spans="1:7" ht="15">
      <c r="A1603" s="486" t="s">
        <v>773</v>
      </c>
      <c r="B1603" s="5" t="s">
        <v>371</v>
      </c>
      <c r="C1603" s="264" t="s">
        <v>252</v>
      </c>
      <c r="D1603" s="328">
        <f>D1605+D1611+D1617</f>
        <v>833095</v>
      </c>
      <c r="E1603" s="328"/>
      <c r="F1603" s="328">
        <f>F1605+F1611+F1617</f>
        <v>12500</v>
      </c>
      <c r="G1603" s="328">
        <f>SUM(D1603:F1603)</f>
        <v>845595</v>
      </c>
    </row>
    <row r="1604" spans="1:7">
      <c r="A1604" s="486"/>
      <c r="C1604" s="171"/>
      <c r="D1604" s="281"/>
      <c r="E1604" s="281"/>
      <c r="G1604" s="281">
        <f>SUM(D1604:F1604)</f>
        <v>0</v>
      </c>
    </row>
    <row r="1605" spans="1:7">
      <c r="A1605" s="486"/>
      <c r="C1605" s="229" t="s">
        <v>261</v>
      </c>
      <c r="D1605" s="277">
        <f>D1607</f>
        <v>188502</v>
      </c>
      <c r="E1605" s="277"/>
      <c r="G1605" s="277">
        <f>SUM(D1605:F1605)</f>
        <v>188502</v>
      </c>
    </row>
    <row r="1606" spans="1:7">
      <c r="A1606" s="486"/>
      <c r="C1606" s="267" t="s">
        <v>243</v>
      </c>
      <c r="D1606" s="277"/>
      <c r="E1606" s="277"/>
      <c r="G1606" s="277">
        <f>SUM(D1606:F1606)</f>
        <v>0</v>
      </c>
    </row>
    <row r="1607" spans="1:7">
      <c r="A1607" s="486"/>
      <c r="C1607" s="268" t="s">
        <v>636</v>
      </c>
      <c r="D1607" s="280">
        <v>188502</v>
      </c>
      <c r="E1607" s="280"/>
      <c r="G1607" s="280">
        <f>SUM(D1607:F1607)</f>
        <v>188502</v>
      </c>
    </row>
    <row r="1608" spans="1:7">
      <c r="A1608" s="486"/>
      <c r="C1608" s="191" t="s">
        <v>121</v>
      </c>
      <c r="D1608" s="281">
        <v>75001</v>
      </c>
      <c r="E1608" s="281"/>
      <c r="G1608" s="281">
        <f>SUM(D1608:F1608)</f>
        <v>75001</v>
      </c>
    </row>
    <row r="1609" spans="1:7">
      <c r="A1609" s="486"/>
      <c r="C1609" s="207"/>
      <c r="D1609" s="311"/>
      <c r="E1609" s="311"/>
      <c r="G1609" s="311">
        <f>SUM(D1609:F1609)</f>
        <v>0</v>
      </c>
    </row>
    <row r="1610" spans="1:7">
      <c r="A1610" s="486"/>
      <c r="C1610" s="192"/>
      <c r="D1610" s="289"/>
      <c r="E1610" s="289"/>
      <c r="G1610" s="289">
        <f>SUM(D1610:F1610)</f>
        <v>0</v>
      </c>
    </row>
    <row r="1611" spans="1:7">
      <c r="A1611" s="486"/>
      <c r="C1611" s="229" t="s">
        <v>266</v>
      </c>
      <c r="D1611" s="277">
        <f>D1613</f>
        <v>130050</v>
      </c>
      <c r="E1611" s="277"/>
      <c r="F1611" s="277">
        <f>F1613</f>
        <v>595</v>
      </c>
      <c r="G1611" s="277">
        <f>SUM(D1611:F1611)</f>
        <v>130645</v>
      </c>
    </row>
    <row r="1612" spans="1:7">
      <c r="A1612" s="486"/>
      <c r="C1612" s="267" t="s">
        <v>243</v>
      </c>
      <c r="D1612" s="277"/>
      <c r="E1612" s="277"/>
      <c r="G1612" s="277">
        <f>SUM(D1612:F1612)</f>
        <v>0</v>
      </c>
    </row>
    <row r="1613" spans="1:7">
      <c r="A1613" s="486"/>
      <c r="C1613" s="268" t="s">
        <v>637</v>
      </c>
      <c r="D1613" s="280">
        <v>130050</v>
      </c>
      <c r="E1613" s="280"/>
      <c r="F1613" s="5">
        <v>595</v>
      </c>
      <c r="G1613" s="280">
        <f>SUM(D1613:F1613)</f>
        <v>130645</v>
      </c>
    </row>
    <row r="1614" spans="1:7">
      <c r="A1614" s="486"/>
      <c r="C1614" s="191" t="s">
        <v>121</v>
      </c>
      <c r="D1614" s="281">
        <v>84570</v>
      </c>
      <c r="E1614" s="281"/>
      <c r="G1614" s="281">
        <f>SUM(D1614:F1614)</f>
        <v>84570</v>
      </c>
    </row>
    <row r="1615" spans="1:7">
      <c r="A1615" s="486"/>
      <c r="C1615" s="191"/>
      <c r="D1615" s="281"/>
      <c r="E1615" s="281"/>
      <c r="G1615" s="281">
        <f>SUM(D1615:F1615)</f>
        <v>0</v>
      </c>
    </row>
    <row r="1616" spans="1:7">
      <c r="A1616" s="486"/>
      <c r="C1616" s="192"/>
      <c r="D1616" s="289"/>
      <c r="E1616" s="289"/>
      <c r="G1616" s="289">
        <f>SUM(D1616:F1616)</f>
        <v>0</v>
      </c>
    </row>
    <row r="1617" spans="1:7">
      <c r="A1617" s="486"/>
      <c r="C1617" s="266" t="s">
        <v>354</v>
      </c>
      <c r="D1617" s="320">
        <f>D1619+D1624+D1629</f>
        <v>514543</v>
      </c>
      <c r="E1617" s="320"/>
      <c r="F1617" s="320">
        <f>F1619+F1624+F1629</f>
        <v>11905</v>
      </c>
      <c r="G1617" s="320">
        <f>SUM(D1617:F1617)</f>
        <v>526448</v>
      </c>
    </row>
    <row r="1618" spans="1:7">
      <c r="A1618" s="486"/>
      <c r="C1618" s="267" t="s">
        <v>243</v>
      </c>
      <c r="D1618" s="277"/>
      <c r="E1618" s="277"/>
      <c r="G1618" s="277">
        <f>SUM(D1618:F1618)</f>
        <v>0</v>
      </c>
    </row>
    <row r="1619" spans="1:7">
      <c r="A1619" s="486"/>
      <c r="C1619" s="268" t="s">
        <v>638</v>
      </c>
      <c r="D1619" s="280">
        <v>159897</v>
      </c>
      <c r="E1619" s="280"/>
      <c r="F1619" s="5">
        <v>5280</v>
      </c>
      <c r="G1619" s="280">
        <f>SUM(D1619:F1619)</f>
        <v>165177</v>
      </c>
    </row>
    <row r="1620" spans="1:7">
      <c r="A1620" s="486"/>
      <c r="C1620" s="191" t="s">
        <v>121</v>
      </c>
      <c r="D1620" s="281">
        <v>49357</v>
      </c>
      <c r="E1620" s="281"/>
      <c r="F1620" s="5">
        <v>600</v>
      </c>
      <c r="G1620" s="281">
        <f>SUM(D1620:F1620)</f>
        <v>49957</v>
      </c>
    </row>
    <row r="1621" spans="1:7">
      <c r="A1621" s="486"/>
      <c r="C1621" s="191"/>
      <c r="D1621" s="281"/>
      <c r="E1621" s="281"/>
      <c r="G1621" s="281">
        <f>SUM(D1621:F1621)</f>
        <v>0</v>
      </c>
    </row>
    <row r="1622" spans="1:7">
      <c r="A1622" s="486"/>
      <c r="C1622" s="192"/>
      <c r="D1622" s="289"/>
      <c r="E1622" s="289"/>
      <c r="G1622" s="289">
        <f>SUM(D1622:F1622)</f>
        <v>0</v>
      </c>
    </row>
    <row r="1623" spans="1:7">
      <c r="A1623" s="486"/>
      <c r="C1623" s="267" t="s">
        <v>243</v>
      </c>
      <c r="D1623" s="277"/>
      <c r="E1623" s="277"/>
      <c r="G1623" s="277">
        <f>SUM(D1623:F1623)</f>
        <v>0</v>
      </c>
    </row>
    <row r="1624" spans="1:7">
      <c r="A1624" s="486"/>
      <c r="C1624" s="268" t="s">
        <v>639</v>
      </c>
      <c r="D1624" s="280">
        <v>159720</v>
      </c>
      <c r="E1624" s="280"/>
      <c r="G1624" s="280">
        <f>SUM(D1624:F1624)</f>
        <v>159720</v>
      </c>
    </row>
    <row r="1625" spans="1:7">
      <c r="A1625" s="486"/>
      <c r="C1625" s="191" t="s">
        <v>121</v>
      </c>
      <c r="D1625" s="281">
        <v>113626</v>
      </c>
      <c r="E1625" s="281"/>
      <c r="G1625" s="281">
        <f>SUM(D1625:F1625)</f>
        <v>113626</v>
      </c>
    </row>
    <row r="1626" spans="1:7">
      <c r="A1626" s="486"/>
      <c r="C1626" s="191"/>
      <c r="D1626" s="281"/>
      <c r="E1626" s="281"/>
      <c r="G1626" s="281">
        <f>SUM(D1626:F1626)</f>
        <v>0</v>
      </c>
    </row>
    <row r="1627" spans="1:7">
      <c r="A1627" s="486"/>
      <c r="C1627" s="232"/>
      <c r="D1627" s="278"/>
      <c r="E1627" s="278"/>
      <c r="G1627" s="278">
        <f>SUM(D1627:F1627)</f>
        <v>0</v>
      </c>
    </row>
    <row r="1628" spans="1:7">
      <c r="A1628" s="486"/>
      <c r="C1628" s="267" t="s">
        <v>243</v>
      </c>
      <c r="D1628" s="277"/>
      <c r="E1628" s="277"/>
      <c r="G1628" s="277">
        <f>SUM(D1628:F1628)</f>
        <v>0</v>
      </c>
    </row>
    <row r="1629" spans="1:7">
      <c r="A1629" s="486"/>
      <c r="C1629" s="268" t="s">
        <v>640</v>
      </c>
      <c r="D1629" s="280">
        <v>194926</v>
      </c>
      <c r="E1629" s="280"/>
      <c r="F1629" s="5">
        <v>6625</v>
      </c>
      <c r="G1629" s="280">
        <f>SUM(D1629:F1629)</f>
        <v>201551</v>
      </c>
    </row>
    <row r="1630" spans="1:7">
      <c r="A1630" s="486"/>
      <c r="C1630" s="191" t="s">
        <v>121</v>
      </c>
      <c r="D1630" s="281">
        <v>103720</v>
      </c>
      <c r="E1630" s="281"/>
      <c r="F1630" s="5">
        <v>585</v>
      </c>
      <c r="G1630" s="281">
        <f>SUM(D1630:F1630)</f>
        <v>104305</v>
      </c>
    </row>
    <row r="1631" spans="1:7">
      <c r="A1631" s="486"/>
      <c r="C1631" s="191"/>
      <c r="D1631" s="281"/>
      <c r="E1631" s="281"/>
      <c r="G1631" s="281">
        <f>SUM(D1631:F1631)</f>
        <v>0</v>
      </c>
    </row>
    <row r="1632" spans="1:7">
      <c r="A1632" s="486"/>
      <c r="C1632" s="192"/>
      <c r="D1632" s="289"/>
      <c r="E1632" s="289"/>
      <c r="G1632" s="289">
        <f>SUM(D1632:F1632)</f>
        <v>0</v>
      </c>
    </row>
    <row r="1633" spans="1:7" ht="15">
      <c r="A1633" s="486" t="s">
        <v>674</v>
      </c>
      <c r="B1633" s="5" t="s">
        <v>371</v>
      </c>
      <c r="C1633" s="264" t="s">
        <v>349</v>
      </c>
      <c r="D1633" s="328">
        <f>D1634</f>
        <v>142500</v>
      </c>
      <c r="E1633" s="328"/>
      <c r="G1633" s="328">
        <f>SUM(D1633:F1633)</f>
        <v>142500</v>
      </c>
    </row>
    <row r="1634" spans="1:7">
      <c r="A1634" s="486"/>
      <c r="C1634" s="181" t="s">
        <v>350</v>
      </c>
      <c r="D1634" s="291">
        <v>142500</v>
      </c>
      <c r="E1634" s="291"/>
      <c r="G1634" s="291">
        <f>SUM(D1634:F1634)</f>
        <v>142500</v>
      </c>
    </row>
    <row r="1635" spans="1:7">
      <c r="A1635" s="486"/>
      <c r="C1635" s="263"/>
      <c r="D1635" s="302"/>
      <c r="E1635" s="302"/>
      <c r="G1635" s="302">
        <f>SUM(D1635:F1635)</f>
        <v>0</v>
      </c>
    </row>
    <row r="1636" spans="1:7">
      <c r="A1636" s="486"/>
      <c r="C1636" s="173"/>
      <c r="D1636" s="278"/>
      <c r="E1636" s="278"/>
      <c r="G1636" s="278">
        <f>SUM(D1636:F1636)</f>
        <v>0</v>
      </c>
    </row>
    <row r="1637" spans="1:7">
      <c r="A1637" s="486"/>
      <c r="C1637" s="259" t="s">
        <v>244</v>
      </c>
      <c r="D1637" s="323">
        <f>D1639++D1642+D1646+D1649+D1651+D1656+D1653+D1644</f>
        <v>1821432</v>
      </c>
      <c r="E1637" s="323">
        <f t="shared" ref="E1637" si="61">E1639++E1642+E1646+E1649+E1651+E1656+E1653+E1644</f>
        <v>46204</v>
      </c>
      <c r="F1637" s="323">
        <f>F1639++F1642+F1646+F1649+F1651+F1656+F1653+F1644</f>
        <v>-6343</v>
      </c>
      <c r="G1637" s="323">
        <f>SUM(D1637:F1637)</f>
        <v>1861293</v>
      </c>
    </row>
    <row r="1638" spans="1:7">
      <c r="A1638" s="486"/>
      <c r="C1638" s="259"/>
      <c r="D1638" s="323"/>
      <c r="E1638" s="323"/>
      <c r="G1638" s="323">
        <f>SUM(D1638:F1638)</f>
        <v>0</v>
      </c>
    </row>
    <row r="1639" spans="1:7">
      <c r="A1639" s="486" t="s">
        <v>678</v>
      </c>
      <c r="B1639" s="5" t="s">
        <v>371</v>
      </c>
      <c r="C1639" s="216" t="s">
        <v>355</v>
      </c>
      <c r="D1639" s="280">
        <f>1439885-732-1</f>
        <v>1439152</v>
      </c>
      <c r="E1639" s="280">
        <v>45273</v>
      </c>
      <c r="F1639" s="605">
        <f>-6030+6030-3679-12669</f>
        <v>-16348</v>
      </c>
      <c r="G1639" s="280">
        <f>SUM(D1639:F1639)</f>
        <v>1468077</v>
      </c>
    </row>
    <row r="1640" spans="1:7">
      <c r="A1640" s="486"/>
      <c r="C1640" s="171" t="s">
        <v>121</v>
      </c>
      <c r="D1640" s="281">
        <v>796740</v>
      </c>
      <c r="E1640" s="281">
        <v>33836</v>
      </c>
      <c r="F1640" s="542">
        <f>-2750-9525</f>
        <v>-12275</v>
      </c>
      <c r="G1640" s="281">
        <f>SUM(D1640:F1640)</f>
        <v>818301</v>
      </c>
    </row>
    <row r="1641" spans="1:7">
      <c r="A1641" s="486"/>
      <c r="C1641" s="415"/>
      <c r="D1641" s="288"/>
      <c r="E1641" s="288"/>
      <c r="F1641" s="627"/>
      <c r="G1641" s="288">
        <f>SUM(D1641:F1641)</f>
        <v>0</v>
      </c>
    </row>
    <row r="1642" spans="1:7" ht="25.5">
      <c r="A1642" s="486" t="s">
        <v>671</v>
      </c>
      <c r="B1642" s="5" t="s">
        <v>371</v>
      </c>
      <c r="C1642" s="269" t="s">
        <v>356</v>
      </c>
      <c r="D1642" s="329">
        <v>36000</v>
      </c>
      <c r="E1642" s="329"/>
      <c r="F1642" s="629">
        <v>10000</v>
      </c>
      <c r="G1642" s="329">
        <f>SUM(D1642:F1642)</f>
        <v>46000</v>
      </c>
    </row>
    <row r="1643" spans="1:7">
      <c r="A1643" s="486"/>
      <c r="C1643" s="269"/>
      <c r="D1643" s="329"/>
      <c r="E1643" s="329"/>
      <c r="G1643" s="329">
        <f>SUM(D1643:F1643)</f>
        <v>0</v>
      </c>
    </row>
    <row r="1644" spans="1:7">
      <c r="A1644" s="486" t="s">
        <v>773</v>
      </c>
      <c r="B1644" s="5" t="s">
        <v>371</v>
      </c>
      <c r="C1644" s="269" t="s">
        <v>357</v>
      </c>
      <c r="D1644" s="329">
        <v>20000</v>
      </c>
      <c r="E1644" s="329"/>
      <c r="G1644" s="329">
        <f>SUM(D1644:F1644)</f>
        <v>20000</v>
      </c>
    </row>
    <row r="1645" spans="1:7">
      <c r="A1645" s="486"/>
      <c r="C1645" s="233"/>
      <c r="D1645" s="210"/>
      <c r="E1645" s="210"/>
      <c r="G1645" s="210">
        <f>SUM(D1645:F1645)</f>
        <v>0</v>
      </c>
    </row>
    <row r="1646" spans="1:7">
      <c r="A1646" s="486" t="s">
        <v>674</v>
      </c>
      <c r="B1646" s="5" t="s">
        <v>371</v>
      </c>
      <c r="C1646" s="227" t="s">
        <v>351</v>
      </c>
      <c r="D1646" s="290">
        <f>66000+16100</f>
        <v>82100</v>
      </c>
      <c r="E1646" s="290"/>
      <c r="G1646" s="290">
        <f>SUM(D1646:F1646)</f>
        <v>82100</v>
      </c>
    </row>
    <row r="1647" spans="1:7">
      <c r="A1647" s="486"/>
      <c r="C1647" s="171" t="s">
        <v>121</v>
      </c>
      <c r="D1647" s="281">
        <v>12000</v>
      </c>
      <c r="E1647" s="281"/>
      <c r="G1647" s="281">
        <f>SUM(D1647:F1647)</f>
        <v>12000</v>
      </c>
    </row>
    <row r="1648" spans="1:7">
      <c r="A1648" s="486"/>
      <c r="C1648" s="227"/>
      <c r="D1648" s="290"/>
      <c r="E1648" s="290"/>
      <c r="G1648" s="290">
        <f>SUM(D1648:F1648)</f>
        <v>0</v>
      </c>
    </row>
    <row r="1649" spans="1:7">
      <c r="A1649" s="486" t="s">
        <v>676</v>
      </c>
      <c r="B1649" s="5" t="s">
        <v>371</v>
      </c>
      <c r="C1649" s="193" t="s">
        <v>359</v>
      </c>
      <c r="D1649" s="282">
        <v>2100</v>
      </c>
      <c r="E1649" s="282"/>
      <c r="F1649" s="5">
        <v>-465</v>
      </c>
      <c r="G1649" s="282">
        <f>SUM(D1649:F1649)</f>
        <v>1635</v>
      </c>
    </row>
    <row r="1650" spans="1:7">
      <c r="A1650" s="486"/>
      <c r="C1650" s="240"/>
      <c r="D1650" s="260"/>
      <c r="E1650" s="260"/>
      <c r="G1650" s="260">
        <f>SUM(D1650:F1650)</f>
        <v>0</v>
      </c>
    </row>
    <row r="1651" spans="1:7">
      <c r="A1651" s="486" t="s">
        <v>676</v>
      </c>
      <c r="B1651" s="5" t="s">
        <v>371</v>
      </c>
      <c r="C1651" s="193" t="s">
        <v>319</v>
      </c>
      <c r="D1651" s="282">
        <v>94080</v>
      </c>
      <c r="E1651" s="282"/>
      <c r="F1651" s="5">
        <v>-530</v>
      </c>
      <c r="G1651" s="282">
        <f>SUM(D1651:F1651)</f>
        <v>93550</v>
      </c>
    </row>
    <row r="1652" spans="1:7">
      <c r="A1652" s="486"/>
      <c r="C1652" s="193"/>
      <c r="D1652" s="282"/>
      <c r="E1652" s="282"/>
      <c r="G1652" s="282">
        <f>SUM(D1652:F1652)</f>
        <v>0</v>
      </c>
    </row>
    <row r="1653" spans="1:7">
      <c r="A1653" s="486" t="s">
        <v>676</v>
      </c>
      <c r="B1653" s="5" t="s">
        <v>371</v>
      </c>
      <c r="C1653" s="227" t="s">
        <v>641</v>
      </c>
      <c r="D1653" s="290">
        <v>128000</v>
      </c>
      <c r="E1653" s="290">
        <v>931</v>
      </c>
      <c r="F1653" s="5">
        <v>11000</v>
      </c>
      <c r="G1653" s="290">
        <f>SUM(D1653:F1653)</f>
        <v>139931</v>
      </c>
    </row>
    <row r="1654" spans="1:7">
      <c r="A1654" s="486"/>
      <c r="C1654" s="241" t="s">
        <v>121</v>
      </c>
      <c r="D1654" s="287">
        <v>53730</v>
      </c>
      <c r="E1654" s="287">
        <v>696</v>
      </c>
      <c r="G1654" s="287">
        <f>SUM(D1654:F1654)</f>
        <v>54426</v>
      </c>
    </row>
    <row r="1655" spans="1:7">
      <c r="A1655" s="486"/>
      <c r="C1655" s="227"/>
      <c r="D1655" s="290"/>
      <c r="E1655" s="290"/>
      <c r="G1655" s="290">
        <f>SUM(D1655:F1655)</f>
        <v>0</v>
      </c>
    </row>
    <row r="1656" spans="1:7">
      <c r="A1656" s="486" t="s">
        <v>843</v>
      </c>
      <c r="B1656" s="5" t="s">
        <v>371</v>
      </c>
      <c r="C1656" s="193" t="s">
        <v>360</v>
      </c>
      <c r="D1656" s="282">
        <v>20000</v>
      </c>
      <c r="E1656" s="282"/>
      <c r="F1656" s="5">
        <v>-10000</v>
      </c>
      <c r="G1656" s="282">
        <f>SUM(D1656:F1656)</f>
        <v>10000</v>
      </c>
    </row>
    <row r="1657" spans="1:7">
      <c r="A1657" s="486"/>
      <c r="C1657" s="193"/>
      <c r="D1657" s="282"/>
      <c r="E1657" s="282"/>
      <c r="G1657" s="282">
        <f>SUM(D1657:F1657)</f>
        <v>0</v>
      </c>
    </row>
    <row r="1658" spans="1:7">
      <c r="A1658" s="5" t="s">
        <v>964</v>
      </c>
      <c r="B1658" s="5" t="s">
        <v>371</v>
      </c>
      <c r="C1658" s="193" t="s">
        <v>965</v>
      </c>
      <c r="D1658" s="282"/>
      <c r="E1658" s="282"/>
      <c r="G1658" s="282">
        <f>SUM(D1658:F1658)</f>
        <v>0</v>
      </c>
    </row>
    <row r="1659" spans="1:7">
      <c r="A1659" s="486"/>
      <c r="C1659" s="193"/>
      <c r="D1659" s="282"/>
      <c r="E1659" s="282"/>
      <c r="G1659" s="282">
        <f>SUM(D1659:F1659)</f>
        <v>0</v>
      </c>
    </row>
    <row r="1660" spans="1:7">
      <c r="A1660" s="486"/>
      <c r="C1660" s="193"/>
      <c r="D1660" s="282"/>
      <c r="E1660" s="282"/>
      <c r="G1660" s="282">
        <f>SUM(D1660:F1660)</f>
        <v>0</v>
      </c>
    </row>
    <row r="1661" spans="1:7" ht="15.75">
      <c r="A1661" s="486"/>
      <c r="C1661" s="184" t="s">
        <v>372</v>
      </c>
      <c r="D1661" s="276"/>
      <c r="E1661" s="276"/>
      <c r="G1661" s="276">
        <f>SUM(D1661:F1661)</f>
        <v>0</v>
      </c>
    </row>
    <row r="1662" spans="1:7">
      <c r="A1662" s="486"/>
      <c r="C1662" s="198"/>
      <c r="D1662" s="210"/>
      <c r="E1662" s="210"/>
      <c r="G1662" s="210">
        <f>SUM(D1662:F1662)</f>
        <v>0</v>
      </c>
    </row>
    <row r="1663" spans="1:7">
      <c r="A1663" s="486"/>
      <c r="C1663" s="186" t="s">
        <v>240</v>
      </c>
      <c r="D1663" s="277">
        <f>D1670+D1675+D1682+D1694+D1698</f>
        <v>1825349</v>
      </c>
      <c r="E1663" s="277">
        <f t="shared" ref="E1663" si="62">E1670+E1675+E1682+E1694+E1698</f>
        <v>29994</v>
      </c>
      <c r="F1663" s="277">
        <f>F1670+F1675+F1682+F1694+F1698</f>
        <v>34807</v>
      </c>
      <c r="G1663" s="277">
        <f>SUM(D1663:F1663)</f>
        <v>1890150</v>
      </c>
    </row>
    <row r="1664" spans="1:7">
      <c r="A1664" s="486"/>
      <c r="C1664" s="187" t="s">
        <v>825</v>
      </c>
      <c r="D1664" s="278">
        <v>191000</v>
      </c>
      <c r="E1664" s="278"/>
      <c r="F1664" s="278"/>
      <c r="G1664" s="278">
        <f>SUM(D1664:F1664)</f>
        <v>191000</v>
      </c>
    </row>
    <row r="1665" spans="1:26">
      <c r="A1665" s="486"/>
      <c r="C1665" s="197" t="s">
        <v>118</v>
      </c>
      <c r="D1665" s="279">
        <f>D1666+D1667</f>
        <v>1825349</v>
      </c>
      <c r="E1665" s="279">
        <f t="shared" ref="E1665" si="63">E1666+E1667</f>
        <v>29994</v>
      </c>
      <c r="F1665" s="279">
        <f>F1666+F1667</f>
        <v>34807</v>
      </c>
      <c r="G1665" s="279">
        <f>SUM(D1665:F1665)</f>
        <v>1890150</v>
      </c>
    </row>
    <row r="1666" spans="1:26">
      <c r="A1666" s="486"/>
      <c r="C1666" s="189" t="s">
        <v>119</v>
      </c>
      <c r="D1666" s="278">
        <f>'[3]2.2 OMATULUD'!B734</f>
        <v>244480</v>
      </c>
      <c r="E1666" s="278"/>
      <c r="F1666" s="278">
        <v>38090</v>
      </c>
      <c r="G1666" s="278">
        <f>SUM(D1666:F1666)</f>
        <v>282570</v>
      </c>
    </row>
    <row r="1667" spans="1:26">
      <c r="A1667" s="486"/>
      <c r="C1667" s="173" t="s">
        <v>120</v>
      </c>
      <c r="D1667" s="278">
        <f>D1663-D1666</f>
        <v>1580869</v>
      </c>
      <c r="E1667" s="278">
        <f t="shared" ref="E1667" si="64">E1663-E1666</f>
        <v>29994</v>
      </c>
      <c r="F1667" s="278">
        <f>F1663-F1666</f>
        <v>-3283</v>
      </c>
      <c r="G1667" s="278">
        <f>SUM(D1667:F1667)</f>
        <v>1607580</v>
      </c>
    </row>
    <row r="1668" spans="1:26" s="493" customFormat="1">
      <c r="C1668" s="603" t="s">
        <v>884</v>
      </c>
      <c r="D1668" s="494">
        <f>D1672+D1679+D1686+D1691+D1701</f>
        <v>819347</v>
      </c>
      <c r="E1668" s="494">
        <f t="shared" ref="E1668" si="65">E1672+E1679+E1686+E1691+E1701</f>
        <v>22417</v>
      </c>
      <c r="F1668" s="494">
        <f>F1672+F1679+F1686+F1691+F1701</f>
        <v>-722</v>
      </c>
      <c r="G1668" s="494">
        <f>SUM(D1668:F1668)</f>
        <v>841042</v>
      </c>
      <c r="H1668" s="495"/>
      <c r="I1668" s="495"/>
      <c r="J1668" s="495"/>
      <c r="K1668" s="495"/>
      <c r="L1668" s="495"/>
      <c r="M1668" s="604"/>
      <c r="O1668" s="495"/>
      <c r="P1668" s="495"/>
      <c r="Q1668" s="495"/>
      <c r="R1668" s="604"/>
      <c r="T1668" s="495"/>
      <c r="U1668" s="495"/>
      <c r="V1668" s="495"/>
      <c r="W1668" s="604"/>
      <c r="Z1668" s="103"/>
    </row>
    <row r="1669" spans="1:26">
      <c r="A1669" s="486"/>
      <c r="C1669" s="173"/>
      <c r="D1669" s="278"/>
      <c r="E1669" s="278"/>
      <c r="G1669" s="278">
        <f>SUM(D1669:F1669)</f>
        <v>0</v>
      </c>
    </row>
    <row r="1670" spans="1:26" ht="15">
      <c r="A1670" s="486" t="s">
        <v>671</v>
      </c>
      <c r="B1670" s="5" t="s">
        <v>372</v>
      </c>
      <c r="C1670" s="264" t="s">
        <v>245</v>
      </c>
      <c r="D1670" s="297">
        <f>D1671</f>
        <v>216306</v>
      </c>
      <c r="E1670" s="297"/>
      <c r="F1670" s="297">
        <f>F1671</f>
        <v>5600</v>
      </c>
      <c r="G1670" s="297">
        <f>SUM(D1670:F1670)</f>
        <v>221906</v>
      </c>
    </row>
    <row r="1671" spans="1:26">
      <c r="A1671" s="486"/>
      <c r="C1671" s="181" t="s">
        <v>753</v>
      </c>
      <c r="D1671" s="277">
        <v>216306</v>
      </c>
      <c r="E1671" s="277"/>
      <c r="F1671" s="5">
        <v>5600</v>
      </c>
      <c r="G1671" s="277">
        <f>SUM(D1671:F1671)</f>
        <v>221906</v>
      </c>
    </row>
    <row r="1672" spans="1:26">
      <c r="A1672" s="486"/>
      <c r="C1672" s="182" t="s">
        <v>121</v>
      </c>
      <c r="D1672" s="281">
        <v>109083</v>
      </c>
      <c r="E1672" s="281"/>
      <c r="G1672" s="281">
        <f>SUM(D1672:F1672)</f>
        <v>109083</v>
      </c>
    </row>
    <row r="1673" spans="1:26">
      <c r="A1673" s="486"/>
      <c r="C1673" s="182"/>
      <c r="D1673" s="281"/>
      <c r="E1673" s="281"/>
      <c r="G1673" s="281">
        <f>SUM(D1673:F1673)</f>
        <v>0</v>
      </c>
    </row>
    <row r="1674" spans="1:26">
      <c r="A1674" s="486"/>
      <c r="C1674" s="180"/>
      <c r="D1674" s="280"/>
      <c r="E1674" s="280"/>
      <c r="G1674" s="280">
        <f>SUM(D1674:F1674)</f>
        <v>0</v>
      </c>
    </row>
    <row r="1675" spans="1:26" ht="15">
      <c r="A1675" s="486" t="s">
        <v>839</v>
      </c>
      <c r="B1675" s="5" t="s">
        <v>372</v>
      </c>
      <c r="C1675" s="272" t="s">
        <v>249</v>
      </c>
      <c r="D1675" s="297">
        <f>D1676</f>
        <v>125735</v>
      </c>
      <c r="E1675" s="297"/>
      <c r="F1675" s="297">
        <f>F1676</f>
        <v>-140</v>
      </c>
      <c r="G1675" s="297">
        <f>SUM(D1675:F1675)</f>
        <v>125595</v>
      </c>
    </row>
    <row r="1676" spans="1:26">
      <c r="A1676" s="486"/>
      <c r="C1676" s="183" t="s">
        <v>250</v>
      </c>
      <c r="D1676" s="277">
        <v>125735</v>
      </c>
      <c r="E1676" s="277"/>
      <c r="F1676" s="277">
        <f>F1678</f>
        <v>-140</v>
      </c>
      <c r="G1676" s="277">
        <f>SUM(D1676:F1676)</f>
        <v>125595</v>
      </c>
    </row>
    <row r="1677" spans="1:26">
      <c r="A1677" s="486"/>
      <c r="C1677" s="265" t="s">
        <v>243</v>
      </c>
      <c r="D1677" s="280"/>
      <c r="E1677" s="280"/>
      <c r="G1677" s="280">
        <f>SUM(D1677:F1677)</f>
        <v>0</v>
      </c>
    </row>
    <row r="1678" spans="1:26">
      <c r="A1678" s="486"/>
      <c r="C1678" s="196" t="s">
        <v>754</v>
      </c>
      <c r="D1678" s="280">
        <v>125735</v>
      </c>
      <c r="E1678" s="280"/>
      <c r="F1678" s="5">
        <v>-140</v>
      </c>
      <c r="G1678" s="280">
        <f>SUM(D1678:F1678)</f>
        <v>125595</v>
      </c>
    </row>
    <row r="1679" spans="1:26">
      <c r="A1679" s="486"/>
      <c r="C1679" s="243" t="s">
        <v>121</v>
      </c>
      <c r="D1679" s="281">
        <v>66193</v>
      </c>
      <c r="E1679" s="281"/>
      <c r="G1679" s="281">
        <f>SUM(D1679:F1679)</f>
        <v>66193</v>
      </c>
    </row>
    <row r="1680" spans="1:26">
      <c r="A1680" s="486"/>
      <c r="C1680" s="243"/>
      <c r="D1680" s="281"/>
      <c r="E1680" s="281"/>
      <c r="G1680" s="281">
        <f>SUM(D1680:F1680)</f>
        <v>0</v>
      </c>
    </row>
    <row r="1681" spans="1:7">
      <c r="A1681" s="486"/>
      <c r="C1681" s="173"/>
      <c r="D1681" s="280"/>
      <c r="E1681" s="280"/>
      <c r="G1681" s="280">
        <f>SUM(D1681:F1681)</f>
        <v>0</v>
      </c>
    </row>
    <row r="1682" spans="1:7" ht="15">
      <c r="A1682" s="486" t="s">
        <v>773</v>
      </c>
      <c r="B1682" s="5" t="s">
        <v>372</v>
      </c>
      <c r="C1682" s="264" t="s">
        <v>252</v>
      </c>
      <c r="D1682" s="297">
        <f>D1683</f>
        <v>196050</v>
      </c>
      <c r="E1682" s="297"/>
      <c r="F1682" s="297">
        <f>F1683</f>
        <v>-2050</v>
      </c>
      <c r="G1682" s="297">
        <f>SUM(D1682:F1682)</f>
        <v>194000</v>
      </c>
    </row>
    <row r="1683" spans="1:7">
      <c r="A1683" s="486"/>
      <c r="C1683" s="266" t="s">
        <v>354</v>
      </c>
      <c r="D1683" s="277">
        <f>D1685+D1690</f>
        <v>196050</v>
      </c>
      <c r="E1683" s="277"/>
      <c r="F1683" s="277">
        <f>F1685+F1690</f>
        <v>-2050</v>
      </c>
      <c r="G1683" s="277">
        <f>SUM(D1683:F1683)</f>
        <v>194000</v>
      </c>
    </row>
    <row r="1684" spans="1:7">
      <c r="A1684" s="486"/>
      <c r="C1684" s="267" t="s">
        <v>243</v>
      </c>
      <c r="D1684" s="280"/>
      <c r="E1684" s="280"/>
      <c r="G1684" s="280">
        <f>SUM(D1684:F1684)</f>
        <v>0</v>
      </c>
    </row>
    <row r="1685" spans="1:7">
      <c r="A1685" s="486"/>
      <c r="C1685" s="268" t="s">
        <v>755</v>
      </c>
      <c r="D1685" s="280">
        <v>144040</v>
      </c>
      <c r="E1685" s="280"/>
      <c r="F1685" s="5">
        <v>50</v>
      </c>
      <c r="G1685" s="280">
        <f>SUM(D1685:F1685)</f>
        <v>144090</v>
      </c>
    </row>
    <row r="1686" spans="1:7">
      <c r="A1686" s="486"/>
      <c r="C1686" s="191" t="s">
        <v>121</v>
      </c>
      <c r="D1686" s="281">
        <v>73975</v>
      </c>
      <c r="E1686" s="281"/>
      <c r="G1686" s="281">
        <f>SUM(D1686:F1686)</f>
        <v>73975</v>
      </c>
    </row>
    <row r="1687" spans="1:7">
      <c r="A1687" s="486"/>
      <c r="C1687" s="191"/>
      <c r="D1687" s="281"/>
      <c r="E1687" s="281"/>
      <c r="G1687" s="281">
        <f>SUM(D1687:F1687)</f>
        <v>0</v>
      </c>
    </row>
    <row r="1688" spans="1:7">
      <c r="A1688" s="486"/>
      <c r="C1688" s="448"/>
      <c r="D1688" s="280"/>
      <c r="E1688" s="280"/>
      <c r="G1688" s="280">
        <f>SUM(D1688:F1688)</f>
        <v>0</v>
      </c>
    </row>
    <row r="1689" spans="1:7">
      <c r="A1689" s="486"/>
      <c r="C1689" s="267" t="s">
        <v>243</v>
      </c>
      <c r="D1689" s="280"/>
      <c r="E1689" s="280"/>
      <c r="G1689" s="280">
        <f>SUM(D1689:F1689)</f>
        <v>0</v>
      </c>
    </row>
    <row r="1690" spans="1:7">
      <c r="A1690" s="486"/>
      <c r="C1690" s="268" t="s">
        <v>756</v>
      </c>
      <c r="D1690" s="280">
        <v>52010</v>
      </c>
      <c r="E1690" s="280"/>
      <c r="F1690" s="5">
        <v>-2100</v>
      </c>
      <c r="G1690" s="280">
        <f>SUM(D1690:F1690)</f>
        <v>49910</v>
      </c>
    </row>
    <row r="1691" spans="1:7">
      <c r="A1691" s="486"/>
      <c r="C1691" s="191" t="s">
        <v>121</v>
      </c>
      <c r="D1691" s="281">
        <v>36535</v>
      </c>
      <c r="E1691" s="281"/>
      <c r="G1691" s="281">
        <f>SUM(D1691:F1691)</f>
        <v>36535</v>
      </c>
    </row>
    <row r="1692" spans="1:7">
      <c r="A1692" s="486"/>
      <c r="C1692" s="191"/>
      <c r="D1692" s="281"/>
      <c r="E1692" s="281"/>
      <c r="G1692" s="281">
        <f>SUM(D1692:F1692)</f>
        <v>0</v>
      </c>
    </row>
    <row r="1693" spans="1:7">
      <c r="A1693" s="486"/>
      <c r="C1693" s="201"/>
      <c r="D1693" s="280"/>
      <c r="E1693" s="280"/>
      <c r="G1693" s="280">
        <f>SUM(D1693:F1693)</f>
        <v>0</v>
      </c>
    </row>
    <row r="1694" spans="1:7" ht="15">
      <c r="A1694" s="486" t="s">
        <v>674</v>
      </c>
      <c r="B1694" s="5" t="s">
        <v>372</v>
      </c>
      <c r="C1694" s="264" t="s">
        <v>349</v>
      </c>
      <c r="D1694" s="297">
        <f>D1695</f>
        <v>197750</v>
      </c>
      <c r="E1694" s="297"/>
      <c r="G1694" s="297">
        <f>SUM(D1694:F1694)</f>
        <v>197750</v>
      </c>
    </row>
    <row r="1695" spans="1:7">
      <c r="A1695" s="486"/>
      <c r="C1695" s="181" t="s">
        <v>350</v>
      </c>
      <c r="D1695" s="277">
        <v>197750</v>
      </c>
      <c r="E1695" s="277"/>
      <c r="G1695" s="277">
        <f>SUM(D1695:F1695)</f>
        <v>197750</v>
      </c>
    </row>
    <row r="1696" spans="1:7">
      <c r="A1696" s="486"/>
      <c r="C1696" s="181"/>
      <c r="D1696" s="277"/>
      <c r="E1696" s="277"/>
      <c r="G1696" s="277">
        <f>SUM(D1696:F1696)</f>
        <v>0</v>
      </c>
    </row>
    <row r="1697" spans="1:7">
      <c r="A1697" s="486"/>
      <c r="C1697" s="240"/>
      <c r="D1697" s="278"/>
      <c r="E1697" s="278"/>
      <c r="G1697" s="278">
        <f>SUM(D1697:F1697)</f>
        <v>0</v>
      </c>
    </row>
    <row r="1698" spans="1:7">
      <c r="A1698" s="486"/>
      <c r="C1698" s="259" t="s">
        <v>244</v>
      </c>
      <c r="D1698" s="277">
        <f>D1700+D1703+D1705+D1707+D1709+D1711+D1713</f>
        <v>1089508</v>
      </c>
      <c r="E1698" s="277">
        <f t="shared" ref="E1698" si="66">E1700+E1703+E1705+E1707+E1709+E1711+E1713</f>
        <v>29994</v>
      </c>
      <c r="F1698" s="277">
        <f>F1700+F1703+F1705+F1707+F1709+F1711+F1713</f>
        <v>31397</v>
      </c>
      <c r="G1698" s="277">
        <f>SUM(D1698:F1698)</f>
        <v>1150899</v>
      </c>
    </row>
    <row r="1699" spans="1:7">
      <c r="A1699" s="486"/>
      <c r="C1699" s="259"/>
      <c r="D1699" s="278"/>
      <c r="E1699" s="278"/>
      <c r="G1699" s="278">
        <f>SUM(D1699:F1699)</f>
        <v>0</v>
      </c>
    </row>
    <row r="1700" spans="1:7">
      <c r="A1700" s="486" t="s">
        <v>678</v>
      </c>
      <c r="B1700" s="5" t="s">
        <v>372</v>
      </c>
      <c r="C1700" s="216" t="s">
        <v>355</v>
      </c>
      <c r="D1700" s="280">
        <f>870376+732</f>
        <v>871108</v>
      </c>
      <c r="E1700" s="280">
        <v>29994</v>
      </c>
      <c r="F1700" s="5">
        <v>10215</v>
      </c>
      <c r="G1700" s="280">
        <f>SUM(D1700:F1700)</f>
        <v>911317</v>
      </c>
    </row>
    <row r="1701" spans="1:7">
      <c r="A1701" s="486"/>
      <c r="C1701" s="171" t="s">
        <v>121</v>
      </c>
      <c r="D1701" s="281">
        <f>533011+550</f>
        <v>533561</v>
      </c>
      <c r="E1701" s="281">
        <v>22417</v>
      </c>
      <c r="F1701" s="5">
        <v>-722</v>
      </c>
      <c r="G1701" s="281">
        <f>SUM(D1701:F1701)</f>
        <v>555256</v>
      </c>
    </row>
    <row r="1702" spans="1:7">
      <c r="A1702" s="486"/>
      <c r="C1702" s="226"/>
      <c r="D1702" s="278"/>
      <c r="E1702" s="278"/>
      <c r="G1702" s="278">
        <f>SUM(D1702:F1702)</f>
        <v>0</v>
      </c>
    </row>
    <row r="1703" spans="1:7" ht="25.5">
      <c r="A1703" s="486" t="s">
        <v>671</v>
      </c>
      <c r="B1703" s="5" t="s">
        <v>372</v>
      </c>
      <c r="C1703" s="269" t="s">
        <v>356</v>
      </c>
      <c r="D1703" s="280">
        <v>41000</v>
      </c>
      <c r="E1703" s="280"/>
      <c r="F1703" s="5">
        <v>7500</v>
      </c>
      <c r="G1703" s="280">
        <f>SUM(D1703:F1703)</f>
        <v>48500</v>
      </c>
    </row>
    <row r="1704" spans="1:7">
      <c r="A1704" s="486"/>
      <c r="C1704" s="269"/>
      <c r="D1704" s="278"/>
      <c r="E1704" s="278"/>
      <c r="G1704" s="278">
        <f>SUM(D1704:F1704)</f>
        <v>0</v>
      </c>
    </row>
    <row r="1705" spans="1:7">
      <c r="A1705" s="486" t="s">
        <v>773</v>
      </c>
      <c r="B1705" s="5" t="s">
        <v>372</v>
      </c>
      <c r="C1705" s="269" t="s">
        <v>357</v>
      </c>
      <c r="D1705" s="280">
        <v>9600</v>
      </c>
      <c r="E1705" s="280"/>
      <c r="G1705" s="280">
        <f>SUM(D1705:F1705)</f>
        <v>9600</v>
      </c>
    </row>
    <row r="1706" spans="1:7">
      <c r="A1706" s="486"/>
      <c r="C1706" s="233"/>
      <c r="D1706" s="280"/>
      <c r="E1706" s="280"/>
      <c r="G1706" s="280">
        <f>SUM(D1706:F1706)</f>
        <v>0</v>
      </c>
    </row>
    <row r="1707" spans="1:7">
      <c r="A1707" s="486" t="s">
        <v>674</v>
      </c>
      <c r="B1707" s="5" t="s">
        <v>372</v>
      </c>
      <c r="C1707" s="227" t="s">
        <v>351</v>
      </c>
      <c r="D1707" s="280">
        <v>35000</v>
      </c>
      <c r="E1707" s="280"/>
      <c r="F1707" s="5">
        <v>20000</v>
      </c>
      <c r="G1707" s="280">
        <f>SUM(D1707:F1707)</f>
        <v>55000</v>
      </c>
    </row>
    <row r="1708" spans="1:7">
      <c r="A1708" s="486"/>
      <c r="C1708" s="227"/>
      <c r="D1708" s="280"/>
      <c r="E1708" s="280"/>
      <c r="G1708" s="280">
        <f>SUM(D1708:F1708)</f>
        <v>0</v>
      </c>
    </row>
    <row r="1709" spans="1:7">
      <c r="A1709" s="486" t="s">
        <v>674</v>
      </c>
      <c r="B1709" s="5" t="s">
        <v>372</v>
      </c>
      <c r="C1709" s="269" t="s">
        <v>358</v>
      </c>
      <c r="D1709" s="280">
        <v>95700</v>
      </c>
      <c r="E1709" s="280"/>
      <c r="F1709" s="5">
        <v>3500</v>
      </c>
      <c r="G1709" s="280">
        <f>SUM(D1709:F1709)</f>
        <v>99200</v>
      </c>
    </row>
    <row r="1710" spans="1:7">
      <c r="A1710" s="486"/>
      <c r="C1710" s="240"/>
      <c r="D1710" s="280"/>
      <c r="E1710" s="280"/>
      <c r="G1710" s="280">
        <f>SUM(D1710:F1710)</f>
        <v>0</v>
      </c>
    </row>
    <row r="1711" spans="1:7">
      <c r="A1711" s="486" t="s">
        <v>676</v>
      </c>
      <c r="B1711" s="5" t="s">
        <v>372</v>
      </c>
      <c r="C1711" s="193" t="s">
        <v>319</v>
      </c>
      <c r="D1711" s="280">
        <v>24600</v>
      </c>
      <c r="E1711" s="280"/>
      <c r="G1711" s="280">
        <f>SUM(D1711:F1711)</f>
        <v>24600</v>
      </c>
    </row>
    <row r="1712" spans="1:7">
      <c r="A1712" s="486"/>
      <c r="C1712" s="232"/>
      <c r="D1712" s="210"/>
      <c r="E1712" s="210"/>
      <c r="G1712" s="210">
        <f>SUM(D1712:F1712)</f>
        <v>0</v>
      </c>
    </row>
    <row r="1713" spans="1:26">
      <c r="A1713" s="486" t="s">
        <v>843</v>
      </c>
      <c r="B1713" s="5" t="s">
        <v>372</v>
      </c>
      <c r="C1713" s="193" t="s">
        <v>360</v>
      </c>
      <c r="D1713" s="210">
        <v>12500</v>
      </c>
      <c r="E1713" s="210"/>
      <c r="F1713" s="5">
        <v>-9818</v>
      </c>
      <c r="G1713" s="210">
        <f>SUM(D1713:F1713)</f>
        <v>2682</v>
      </c>
    </row>
    <row r="1714" spans="1:26">
      <c r="A1714" s="486"/>
      <c r="C1714" s="198"/>
      <c r="D1714" s="210"/>
      <c r="E1714" s="210"/>
      <c r="G1714" s="210">
        <f>SUM(D1714:F1714)</f>
        <v>0</v>
      </c>
    </row>
    <row r="1715" spans="1:26">
      <c r="A1715" s="486"/>
      <c r="C1715" s="198"/>
      <c r="D1715" s="210"/>
      <c r="E1715" s="210"/>
      <c r="G1715" s="210">
        <f>SUM(D1715:F1715)</f>
        <v>0</v>
      </c>
    </row>
    <row r="1716" spans="1:26" ht="15.75">
      <c r="A1716" s="486"/>
      <c r="C1716" s="184" t="s">
        <v>373</v>
      </c>
      <c r="D1716" s="276"/>
      <c r="E1716" s="276"/>
      <c r="G1716" s="276">
        <f>SUM(D1716:F1716)</f>
        <v>0</v>
      </c>
    </row>
    <row r="1717" spans="1:26">
      <c r="A1717" s="486"/>
      <c r="C1717" s="198"/>
      <c r="D1717" s="210"/>
      <c r="E1717" s="210"/>
      <c r="G1717" s="210">
        <f>SUM(D1717:F1717)</f>
        <v>0</v>
      </c>
    </row>
    <row r="1718" spans="1:26">
      <c r="A1718" s="486"/>
      <c r="C1718" s="186" t="s">
        <v>240</v>
      </c>
      <c r="D1718" s="277">
        <f>D1725+D1730+D1737+D1749+D1754</f>
        <v>4461718</v>
      </c>
      <c r="E1718" s="277">
        <f>E1725+E1730+E1737+E1749+E1754</f>
        <v>64006</v>
      </c>
      <c r="F1718" s="277">
        <f>F1725+F1730+F1737+F1749+F1754</f>
        <v>107802</v>
      </c>
      <c r="G1718" s="277">
        <f>SUM(D1718:F1718)</f>
        <v>4633526</v>
      </c>
    </row>
    <row r="1719" spans="1:26">
      <c r="A1719" s="486"/>
      <c r="C1719" s="187" t="s">
        <v>825</v>
      </c>
      <c r="D1719" s="278">
        <v>737000</v>
      </c>
      <c r="E1719" s="278"/>
      <c r="F1719" s="278"/>
      <c r="G1719" s="278">
        <f>SUM(D1719:F1719)</f>
        <v>737000</v>
      </c>
    </row>
    <row r="1720" spans="1:26">
      <c r="A1720" s="486"/>
      <c r="C1720" s="197" t="s">
        <v>118</v>
      </c>
      <c r="D1720" s="279">
        <f>D1721+D1722</f>
        <v>4461718</v>
      </c>
      <c r="E1720" s="279">
        <f>E1721+E1722</f>
        <v>64006</v>
      </c>
      <c r="F1720" s="279">
        <f>F1721+F1722</f>
        <v>107802</v>
      </c>
      <c r="G1720" s="279">
        <f>SUM(D1720:F1720)</f>
        <v>4633526</v>
      </c>
    </row>
    <row r="1721" spans="1:26" ht="13.5" customHeight="1">
      <c r="A1721" s="486"/>
      <c r="C1721" s="189" t="s">
        <v>119</v>
      </c>
      <c r="D1721" s="278">
        <f>'[3]2.2 OMATULUD'!B765</f>
        <v>1108020</v>
      </c>
      <c r="E1721" s="278"/>
      <c r="F1721" s="278">
        <v>63090</v>
      </c>
      <c r="G1721" s="278">
        <f>SUM(D1721:F1721)</f>
        <v>1171110</v>
      </c>
    </row>
    <row r="1722" spans="1:26">
      <c r="A1722" s="486"/>
      <c r="C1722" s="173" t="s">
        <v>120</v>
      </c>
      <c r="D1722" s="278">
        <f>D1718-D1721</f>
        <v>3353698</v>
      </c>
      <c r="E1722" s="278">
        <f>E1718-E1721</f>
        <v>64006</v>
      </c>
      <c r="F1722" s="278">
        <f>F1718-F1721</f>
        <v>44712</v>
      </c>
      <c r="G1722" s="278">
        <f>SUM(D1722:F1722)</f>
        <v>3462416</v>
      </c>
    </row>
    <row r="1723" spans="1:26" s="493" customFormat="1">
      <c r="C1723" s="603" t="s">
        <v>884</v>
      </c>
      <c r="D1723" s="494">
        <f>D1727+D1735+D1741+D1746+D1751+D1757</f>
        <v>2032134</v>
      </c>
      <c r="E1723" s="494">
        <f>E1727+E1735+E1741+E1746+E1751+E1757</f>
        <v>47837</v>
      </c>
      <c r="F1723" s="494">
        <f>F1727+F1735+F1741+F1746+F1751+F1757</f>
        <v>1426</v>
      </c>
      <c r="G1723" s="494">
        <f>SUM(D1723:F1723)</f>
        <v>2081397</v>
      </c>
      <c r="H1723" s="495"/>
      <c r="I1723" s="495"/>
      <c r="J1723" s="495"/>
      <c r="K1723" s="495"/>
      <c r="L1723" s="495"/>
      <c r="M1723" s="604"/>
      <c r="O1723" s="495"/>
      <c r="P1723" s="495"/>
      <c r="Q1723" s="495"/>
      <c r="R1723" s="604"/>
      <c r="T1723" s="495"/>
      <c r="U1723" s="495"/>
      <c r="V1723" s="495"/>
      <c r="W1723" s="604"/>
      <c r="Z1723" s="103"/>
    </row>
    <row r="1724" spans="1:26">
      <c r="A1724" s="486"/>
      <c r="C1724" s="173"/>
      <c r="D1724" s="278"/>
      <c r="E1724" s="278"/>
      <c r="G1724" s="278">
        <f>SUM(D1724:F1724)</f>
        <v>0</v>
      </c>
    </row>
    <row r="1725" spans="1:26" ht="15">
      <c r="A1725" s="486" t="s">
        <v>671</v>
      </c>
      <c r="B1725" s="5" t="s">
        <v>373</v>
      </c>
      <c r="C1725" s="264" t="s">
        <v>245</v>
      </c>
      <c r="D1725" s="328">
        <f>D1726</f>
        <v>593021</v>
      </c>
      <c r="E1725" s="328"/>
      <c r="G1725" s="328">
        <f>SUM(D1725:F1725)</f>
        <v>593021</v>
      </c>
    </row>
    <row r="1726" spans="1:26">
      <c r="A1726" s="486"/>
      <c r="C1726" s="181" t="s">
        <v>374</v>
      </c>
      <c r="D1726" s="291">
        <v>593021</v>
      </c>
      <c r="E1726" s="291"/>
      <c r="G1726" s="291">
        <f>SUM(D1726:F1726)</f>
        <v>593021</v>
      </c>
    </row>
    <row r="1727" spans="1:26">
      <c r="A1727" s="486"/>
      <c r="C1727" s="182" t="s">
        <v>121</v>
      </c>
      <c r="D1727" s="281">
        <v>322884</v>
      </c>
      <c r="E1727" s="281"/>
      <c r="G1727" s="281">
        <f>SUM(D1727:F1727)</f>
        <v>322884</v>
      </c>
    </row>
    <row r="1728" spans="1:26">
      <c r="A1728" s="486"/>
      <c r="C1728" s="191"/>
      <c r="D1728" s="281"/>
      <c r="E1728" s="281"/>
      <c r="G1728" s="281">
        <f>SUM(D1728:F1728)</f>
        <v>0</v>
      </c>
    </row>
    <row r="1729" spans="1:7">
      <c r="A1729" s="486"/>
      <c r="C1729" s="180"/>
      <c r="D1729" s="295"/>
      <c r="E1729" s="295"/>
      <c r="G1729" s="295">
        <f>SUM(D1729:F1729)</f>
        <v>0</v>
      </c>
    </row>
    <row r="1730" spans="1:7" ht="15">
      <c r="A1730" s="486" t="s">
        <v>839</v>
      </c>
      <c r="B1730" s="5" t="s">
        <v>373</v>
      </c>
      <c r="C1730" s="264" t="s">
        <v>249</v>
      </c>
      <c r="D1730" s="328">
        <f>D1731</f>
        <v>117185</v>
      </c>
      <c r="E1730" s="328"/>
      <c r="F1730" s="328">
        <f>F1731</f>
        <v>2100</v>
      </c>
      <c r="G1730" s="328">
        <f>SUM(D1730:F1730)</f>
        <v>119285</v>
      </c>
    </row>
    <row r="1731" spans="1:7">
      <c r="A1731" s="486"/>
      <c r="C1731" s="181" t="s">
        <v>250</v>
      </c>
      <c r="D1731" s="291">
        <f>D1734</f>
        <v>117185</v>
      </c>
      <c r="E1731" s="291"/>
      <c r="F1731" s="291">
        <f>F1734</f>
        <v>2100</v>
      </c>
      <c r="G1731" s="291">
        <f>SUM(D1731:F1731)</f>
        <v>119285</v>
      </c>
    </row>
    <row r="1732" spans="1:7">
      <c r="A1732" s="486"/>
      <c r="C1732" s="275"/>
      <c r="D1732" s="333"/>
      <c r="E1732" s="333"/>
      <c r="G1732" s="333">
        <f>SUM(D1732:F1732)</f>
        <v>0</v>
      </c>
    </row>
    <row r="1733" spans="1:7">
      <c r="A1733" s="486"/>
      <c r="C1733" s="267" t="s">
        <v>243</v>
      </c>
      <c r="D1733" s="277"/>
      <c r="E1733" s="277"/>
      <c r="G1733" s="277">
        <f>SUM(D1733:F1733)</f>
        <v>0</v>
      </c>
    </row>
    <row r="1734" spans="1:7">
      <c r="A1734" s="486"/>
      <c r="C1734" s="268" t="s">
        <v>375</v>
      </c>
      <c r="D1734" s="280">
        <v>117185</v>
      </c>
      <c r="E1734" s="280"/>
      <c r="F1734" s="5">
        <v>2100</v>
      </c>
      <c r="G1734" s="280">
        <f>SUM(D1734:F1734)</f>
        <v>119285</v>
      </c>
    </row>
    <row r="1735" spans="1:7">
      <c r="A1735" s="486"/>
      <c r="C1735" s="191" t="s">
        <v>121</v>
      </c>
      <c r="D1735" s="281">
        <v>67347</v>
      </c>
      <c r="E1735" s="281"/>
      <c r="G1735" s="281">
        <f>SUM(D1735:F1735)</f>
        <v>67347</v>
      </c>
    </row>
    <row r="1736" spans="1:7">
      <c r="A1736" s="486"/>
      <c r="C1736" s="173"/>
      <c r="D1736" s="278"/>
      <c r="E1736" s="278"/>
      <c r="G1736" s="278">
        <f>SUM(D1736:F1736)</f>
        <v>0</v>
      </c>
    </row>
    <row r="1737" spans="1:7" ht="15">
      <c r="A1737" s="486" t="s">
        <v>773</v>
      </c>
      <c r="B1737" s="5" t="s">
        <v>373</v>
      </c>
      <c r="C1737" s="264" t="s">
        <v>252</v>
      </c>
      <c r="D1737" s="328">
        <f>D1738</f>
        <v>789977</v>
      </c>
      <c r="E1737" s="328"/>
      <c r="F1737" s="328">
        <f>F1738</f>
        <v>4726</v>
      </c>
      <c r="G1737" s="328">
        <f>SUM(D1737:F1737)</f>
        <v>794703</v>
      </c>
    </row>
    <row r="1738" spans="1:7">
      <c r="A1738" s="486"/>
      <c r="C1738" s="266" t="s">
        <v>354</v>
      </c>
      <c r="D1738" s="320">
        <f>D1740+D1745</f>
        <v>789977</v>
      </c>
      <c r="E1738" s="320"/>
      <c r="F1738" s="320">
        <f>F1740+F1745</f>
        <v>4726</v>
      </c>
      <c r="G1738" s="320">
        <f>SUM(D1738:F1738)</f>
        <v>794703</v>
      </c>
    </row>
    <row r="1739" spans="1:7">
      <c r="A1739" s="486"/>
      <c r="C1739" s="267" t="s">
        <v>243</v>
      </c>
      <c r="D1739" s="277"/>
      <c r="E1739" s="277"/>
      <c r="G1739" s="277">
        <f>SUM(D1739:F1739)</f>
        <v>0</v>
      </c>
    </row>
    <row r="1740" spans="1:7">
      <c r="A1740" s="486"/>
      <c r="C1740" s="268" t="s">
        <v>376</v>
      </c>
      <c r="D1740" s="280">
        <v>332602</v>
      </c>
      <c r="E1740" s="280"/>
      <c r="F1740" s="5">
        <v>2640</v>
      </c>
      <c r="G1740" s="280">
        <f>SUM(D1740:F1740)</f>
        <v>335242</v>
      </c>
    </row>
    <row r="1741" spans="1:7">
      <c r="A1741" s="486"/>
      <c r="C1741" s="191" t="s">
        <v>121</v>
      </c>
      <c r="D1741" s="281">
        <v>143041</v>
      </c>
      <c r="E1741" s="281"/>
      <c r="G1741" s="281">
        <f>SUM(D1741:F1741)</f>
        <v>143041</v>
      </c>
    </row>
    <row r="1742" spans="1:7">
      <c r="A1742" s="486"/>
      <c r="C1742" s="191"/>
      <c r="D1742" s="281"/>
      <c r="E1742" s="281"/>
      <c r="G1742" s="281">
        <f>SUM(D1742:F1742)</f>
        <v>0</v>
      </c>
    </row>
    <row r="1743" spans="1:7">
      <c r="A1743" s="486"/>
      <c r="C1743" s="268"/>
      <c r="D1743" s="280"/>
      <c r="E1743" s="280"/>
      <c r="G1743" s="280">
        <f>SUM(D1743:F1743)</f>
        <v>0</v>
      </c>
    </row>
    <row r="1744" spans="1:7">
      <c r="A1744" s="486"/>
      <c r="C1744" s="267" t="s">
        <v>243</v>
      </c>
      <c r="D1744" s="277"/>
      <c r="E1744" s="277"/>
      <c r="G1744" s="277">
        <f>SUM(D1744:F1744)</f>
        <v>0</v>
      </c>
    </row>
    <row r="1745" spans="1:7">
      <c r="A1745" s="486"/>
      <c r="C1745" s="566" t="s">
        <v>377</v>
      </c>
      <c r="D1745" s="290">
        <v>457375</v>
      </c>
      <c r="E1745" s="290"/>
      <c r="F1745" s="5">
        <v>2086</v>
      </c>
      <c r="G1745" s="290">
        <f>SUM(D1745:F1745)</f>
        <v>459461</v>
      </c>
    </row>
    <row r="1746" spans="1:7">
      <c r="A1746" s="486"/>
      <c r="C1746" s="243" t="s">
        <v>121</v>
      </c>
      <c r="D1746" s="287">
        <v>316388</v>
      </c>
      <c r="E1746" s="287"/>
      <c r="G1746" s="287">
        <f>SUM(D1746:F1746)</f>
        <v>316388</v>
      </c>
    </row>
    <row r="1747" spans="1:7">
      <c r="A1747" s="486"/>
      <c r="C1747" s="271"/>
      <c r="D1747" s="315"/>
      <c r="E1747" s="315"/>
      <c r="G1747" s="315">
        <f>SUM(D1747:F1747)</f>
        <v>0</v>
      </c>
    </row>
    <row r="1748" spans="1:7">
      <c r="A1748" s="486"/>
      <c r="C1748" s="198"/>
      <c r="D1748" s="210"/>
      <c r="E1748" s="210"/>
      <c r="G1748" s="210">
        <f>SUM(D1748:F1748)</f>
        <v>0</v>
      </c>
    </row>
    <row r="1749" spans="1:7" ht="15">
      <c r="A1749" s="486" t="s">
        <v>674</v>
      </c>
      <c r="B1749" s="5" t="s">
        <v>373</v>
      </c>
      <c r="C1749" s="264" t="s">
        <v>349</v>
      </c>
      <c r="D1749" s="328">
        <f>D1750</f>
        <v>325630</v>
      </c>
      <c r="E1749" s="328"/>
      <c r="G1749" s="328">
        <f>SUM(D1749:F1749)</f>
        <v>325630</v>
      </c>
    </row>
    <row r="1750" spans="1:7">
      <c r="A1750" s="486"/>
      <c r="C1750" s="181" t="s">
        <v>350</v>
      </c>
      <c r="D1750" s="291">
        <f>317630+8000</f>
        <v>325630</v>
      </c>
      <c r="E1750" s="291"/>
      <c r="G1750" s="291">
        <f>SUM(D1750:F1750)</f>
        <v>325630</v>
      </c>
    </row>
    <row r="1751" spans="1:7">
      <c r="A1751" s="486"/>
      <c r="C1751" s="243" t="s">
        <v>121</v>
      </c>
      <c r="D1751" s="287">
        <v>5980</v>
      </c>
      <c r="E1751" s="287"/>
      <c r="G1751" s="287">
        <f>SUM(D1751:F1751)</f>
        <v>5980</v>
      </c>
    </row>
    <row r="1752" spans="1:7">
      <c r="A1752" s="486"/>
      <c r="C1752" s="263"/>
      <c r="D1752" s="302"/>
      <c r="E1752" s="302"/>
      <c r="G1752" s="302">
        <f>SUM(D1752:F1752)</f>
        <v>0</v>
      </c>
    </row>
    <row r="1753" spans="1:7">
      <c r="A1753" s="486"/>
      <c r="C1753" s="240"/>
      <c r="D1753" s="260"/>
      <c r="E1753" s="260"/>
      <c r="G1753" s="260">
        <f>SUM(D1753:F1753)</f>
        <v>0</v>
      </c>
    </row>
    <row r="1754" spans="1:7">
      <c r="A1754" s="486"/>
      <c r="C1754" s="259" t="s">
        <v>244</v>
      </c>
      <c r="D1754" s="323">
        <f>D1756+D1759+D1761+D1763+D1765+D1767+D1769+D1771</f>
        <v>2635905</v>
      </c>
      <c r="E1754" s="323">
        <f t="shared" ref="E1754" si="67">E1756+E1759+E1761+E1763+E1765+E1767+E1769+E1771</f>
        <v>64006</v>
      </c>
      <c r="F1754" s="323">
        <f>F1756+F1759+F1761+F1763+F1765+F1767+F1769+F1771</f>
        <v>100976</v>
      </c>
      <c r="G1754" s="323">
        <f>SUM(D1754:F1754)</f>
        <v>2800887</v>
      </c>
    </row>
    <row r="1755" spans="1:7">
      <c r="A1755" s="486"/>
      <c r="C1755" s="259"/>
      <c r="D1755" s="323"/>
      <c r="E1755" s="323"/>
      <c r="G1755" s="323">
        <f>SUM(D1755:F1755)</f>
        <v>0</v>
      </c>
    </row>
    <row r="1756" spans="1:7">
      <c r="A1756" s="486" t="s">
        <v>678</v>
      </c>
      <c r="B1756" s="5" t="s">
        <v>373</v>
      </c>
      <c r="C1756" s="216" t="s">
        <v>355</v>
      </c>
      <c r="D1756" s="280">
        <f>1824455+650</f>
        <v>1825105</v>
      </c>
      <c r="E1756" s="280">
        <v>64006</v>
      </c>
      <c r="F1756" s="605">
        <f>6000-4026+6958-4649+3670</f>
        <v>7953</v>
      </c>
      <c r="G1756" s="280">
        <f>SUM(D1756:F1756)</f>
        <v>1897064</v>
      </c>
    </row>
    <row r="1757" spans="1:7">
      <c r="A1757" s="486"/>
      <c r="C1757" s="171" t="s">
        <v>121</v>
      </c>
      <c r="D1757" s="281">
        <f>1176014+480</f>
        <v>1176494</v>
      </c>
      <c r="E1757" s="281">
        <v>47837</v>
      </c>
      <c r="F1757" s="542">
        <f>-3009+5200-3495+2730</f>
        <v>1426</v>
      </c>
      <c r="G1757" s="281">
        <f>SUM(D1757:F1757)</f>
        <v>1225757</v>
      </c>
    </row>
    <row r="1758" spans="1:7">
      <c r="A1758" s="486"/>
      <c r="C1758" s="232"/>
      <c r="D1758" s="278"/>
      <c r="E1758" s="278"/>
      <c r="F1758" s="618"/>
      <c r="G1758" s="278">
        <f>SUM(D1758:F1758)</f>
        <v>0</v>
      </c>
    </row>
    <row r="1759" spans="1:7" ht="25.5">
      <c r="A1759" s="486" t="s">
        <v>671</v>
      </c>
      <c r="B1759" s="5" t="s">
        <v>373</v>
      </c>
      <c r="C1759" s="269" t="s">
        <v>356</v>
      </c>
      <c r="D1759" s="329">
        <v>40000</v>
      </c>
      <c r="E1759" s="329"/>
      <c r="F1759" s="630">
        <v>11200</v>
      </c>
      <c r="G1759" s="329">
        <f>SUM(D1759:F1759)</f>
        <v>51200</v>
      </c>
    </row>
    <row r="1760" spans="1:7">
      <c r="A1760" s="486"/>
      <c r="C1760" s="269"/>
      <c r="D1760" s="329"/>
      <c r="E1760" s="329"/>
      <c r="G1760" s="329">
        <f>SUM(D1760:F1760)</f>
        <v>0</v>
      </c>
    </row>
    <row r="1761" spans="1:7">
      <c r="A1761" s="486" t="s">
        <v>773</v>
      </c>
      <c r="B1761" s="5" t="s">
        <v>373</v>
      </c>
      <c r="C1761" s="269" t="s">
        <v>357</v>
      </c>
      <c r="D1761" s="329">
        <v>112300</v>
      </c>
      <c r="E1761" s="329"/>
      <c r="G1761" s="329">
        <f>SUM(D1761:F1761)</f>
        <v>112300</v>
      </c>
    </row>
    <row r="1762" spans="1:7">
      <c r="A1762" s="486"/>
      <c r="C1762" s="179"/>
      <c r="D1762" s="296"/>
      <c r="E1762" s="296"/>
      <c r="G1762" s="296">
        <f>SUM(D1762:F1762)</f>
        <v>0</v>
      </c>
    </row>
    <row r="1763" spans="1:7">
      <c r="A1763" s="486" t="s">
        <v>674</v>
      </c>
      <c r="B1763" s="5" t="s">
        <v>373</v>
      </c>
      <c r="C1763" s="227" t="s">
        <v>351</v>
      </c>
      <c r="D1763" s="290">
        <v>82500</v>
      </c>
      <c r="E1763" s="290"/>
      <c r="F1763" s="5">
        <v>30810</v>
      </c>
      <c r="G1763" s="290">
        <f>SUM(D1763:F1763)</f>
        <v>113310</v>
      </c>
    </row>
    <row r="1764" spans="1:7">
      <c r="A1764" s="486"/>
      <c r="C1764" s="227"/>
      <c r="D1764" s="290"/>
      <c r="E1764" s="290"/>
      <c r="G1764" s="290">
        <f>SUM(D1764:F1764)</f>
        <v>0</v>
      </c>
    </row>
    <row r="1765" spans="1:7">
      <c r="A1765" s="486" t="s">
        <v>674</v>
      </c>
      <c r="B1765" s="5" t="s">
        <v>373</v>
      </c>
      <c r="C1765" s="269" t="s">
        <v>358</v>
      </c>
      <c r="D1765" s="329">
        <v>85000</v>
      </c>
      <c r="E1765" s="329"/>
      <c r="F1765" s="5">
        <v>4649</v>
      </c>
      <c r="G1765" s="329">
        <f>SUM(D1765:F1765)</f>
        <v>89649</v>
      </c>
    </row>
    <row r="1766" spans="1:7">
      <c r="A1766" s="486"/>
      <c r="C1766" s="227"/>
      <c r="D1766" s="290"/>
      <c r="E1766" s="290"/>
      <c r="G1766" s="290">
        <f>SUM(D1766:F1766)</f>
        <v>0</v>
      </c>
    </row>
    <row r="1767" spans="1:7">
      <c r="A1767" s="486" t="s">
        <v>676</v>
      </c>
      <c r="B1767" s="5" t="s">
        <v>373</v>
      </c>
      <c r="C1767" s="193" t="s">
        <v>359</v>
      </c>
      <c r="D1767" s="282">
        <v>147000</v>
      </c>
      <c r="E1767" s="282"/>
      <c r="F1767" s="5">
        <v>-9000</v>
      </c>
      <c r="G1767" s="282">
        <f>SUM(D1767:F1767)</f>
        <v>138000</v>
      </c>
    </row>
    <row r="1768" spans="1:7">
      <c r="A1768" s="486"/>
      <c r="C1768" s="240"/>
      <c r="D1768" s="260"/>
      <c r="E1768" s="260"/>
      <c r="G1768" s="260">
        <f>SUM(D1768:F1768)</f>
        <v>0</v>
      </c>
    </row>
    <row r="1769" spans="1:7">
      <c r="A1769" s="486" t="s">
        <v>676</v>
      </c>
      <c r="B1769" s="5" t="s">
        <v>373</v>
      </c>
      <c r="C1769" s="193" t="s">
        <v>319</v>
      </c>
      <c r="D1769" s="282">
        <v>324000</v>
      </c>
      <c r="E1769" s="282"/>
      <c r="F1769" s="5">
        <v>61364</v>
      </c>
      <c r="G1769" s="282">
        <f>SUM(D1769:F1769)</f>
        <v>385364</v>
      </c>
    </row>
    <row r="1770" spans="1:7">
      <c r="A1770" s="486"/>
      <c r="C1770" s="232"/>
      <c r="D1770" s="278"/>
      <c r="E1770" s="278"/>
      <c r="G1770" s="278">
        <f>SUM(D1770:F1770)</f>
        <v>0</v>
      </c>
    </row>
    <row r="1771" spans="1:7">
      <c r="A1771" s="486" t="s">
        <v>843</v>
      </c>
      <c r="B1771" s="5" t="s">
        <v>373</v>
      </c>
      <c r="C1771" s="193" t="s">
        <v>360</v>
      </c>
      <c r="D1771" s="282">
        <v>20000</v>
      </c>
      <c r="E1771" s="282"/>
      <c r="F1771" s="5">
        <v>-6000</v>
      </c>
      <c r="G1771" s="282">
        <f>SUM(D1771:F1771)</f>
        <v>14000</v>
      </c>
    </row>
    <row r="1772" spans="1:7">
      <c r="A1772" s="486"/>
      <c r="C1772" s="193"/>
      <c r="D1772" s="282"/>
      <c r="E1772" s="282"/>
      <c r="G1772" s="282">
        <f>SUM(D1772:F1772)</f>
        <v>0</v>
      </c>
    </row>
    <row r="1773" spans="1:7">
      <c r="A1773" s="486"/>
      <c r="C1773" s="193"/>
      <c r="D1773" s="282"/>
      <c r="E1773" s="282"/>
      <c r="G1773" s="282">
        <f>SUM(D1773:F1773)</f>
        <v>0</v>
      </c>
    </row>
    <row r="1774" spans="1:7" ht="15.75">
      <c r="A1774" s="486"/>
      <c r="C1774" s="184" t="s">
        <v>757</v>
      </c>
      <c r="D1774" s="325"/>
      <c r="E1774" s="325"/>
      <c r="G1774" s="325">
        <f>SUM(D1774:F1774)</f>
        <v>0</v>
      </c>
    </row>
    <row r="1775" spans="1:7">
      <c r="A1775" s="486"/>
      <c r="C1775" s="141"/>
      <c r="D1775" s="334"/>
      <c r="E1775" s="334"/>
      <c r="G1775" s="334">
        <f>SUM(D1775:F1775)</f>
        <v>0</v>
      </c>
    </row>
    <row r="1776" spans="1:7">
      <c r="A1776" s="486"/>
      <c r="C1776" s="176" t="s">
        <v>758</v>
      </c>
      <c r="D1776" s="285">
        <v>4000000</v>
      </c>
      <c r="E1776" s="285"/>
      <c r="G1776" s="285">
        <f>SUM(D1776:F1776)</f>
        <v>4000000</v>
      </c>
    </row>
    <row r="1777" spans="1:7">
      <c r="A1777" s="486"/>
      <c r="C1777" s="177"/>
      <c r="D1777" s="285"/>
      <c r="E1777" s="285"/>
      <c r="G1777" s="285">
        <f>SUM(D1777:F1777)</f>
        <v>0</v>
      </c>
    </row>
    <row r="1778" spans="1:7">
      <c r="A1778" s="486"/>
      <c r="C1778" s="176" t="s">
        <v>759</v>
      </c>
      <c r="D1778" s="285">
        <f>D1779+D1780</f>
        <v>3602737</v>
      </c>
      <c r="E1778" s="285">
        <f t="shared" ref="E1778" si="68">E1779+E1780</f>
        <v>0</v>
      </c>
      <c r="F1778" s="285">
        <f>F1779+F1780</f>
        <v>1409244</v>
      </c>
      <c r="G1778" s="285">
        <f>SUM(D1778:F1778)</f>
        <v>5011981</v>
      </c>
    </row>
    <row r="1779" spans="1:7">
      <c r="A1779" s="486"/>
      <c r="C1779" s="177" t="s">
        <v>760</v>
      </c>
      <c r="D1779" s="285">
        <f>1638000-124000-23000-14000-227572-310213</f>
        <v>939215</v>
      </c>
      <c r="E1779" s="285"/>
      <c r="F1779" s="285">
        <v>-37148</v>
      </c>
      <c r="G1779" s="285">
        <f>SUM(D1779:F1779)</f>
        <v>902067</v>
      </c>
    </row>
    <row r="1780" spans="1:7">
      <c r="A1780" s="486"/>
      <c r="C1780" s="177" t="s">
        <v>761</v>
      </c>
      <c r="D1780" s="285">
        <f>SUM(D1781:D1783)</f>
        <v>2663522</v>
      </c>
      <c r="E1780" s="285"/>
      <c r="F1780" s="285">
        <f>F1781+F1782</f>
        <v>1446392</v>
      </c>
      <c r="G1780" s="285">
        <f>SUM(D1780:F1780)</f>
        <v>4109914</v>
      </c>
    </row>
    <row r="1781" spans="1:7">
      <c r="A1781" s="486"/>
      <c r="C1781" s="631" t="s">
        <v>762</v>
      </c>
      <c r="D1781" s="282">
        <v>1000000</v>
      </c>
      <c r="E1781" s="282"/>
      <c r="F1781" s="282">
        <v>-87500</v>
      </c>
      <c r="G1781" s="282">
        <f>SUM(D1781:F1781)</f>
        <v>912500</v>
      </c>
    </row>
    <row r="1782" spans="1:7" ht="25.5">
      <c r="A1782" s="486"/>
      <c r="C1782" s="178" t="s">
        <v>763</v>
      </c>
      <c r="D1782" s="286">
        <v>100000</v>
      </c>
      <c r="E1782" s="286"/>
      <c r="F1782" s="286">
        <v>1533892</v>
      </c>
      <c r="G1782" s="286">
        <f>SUM(D1782:F1782)</f>
        <v>1633892</v>
      </c>
    </row>
    <row r="1783" spans="1:7">
      <c r="A1783" s="486"/>
      <c r="C1783" s="337" t="s">
        <v>764</v>
      </c>
      <c r="D1783" s="210">
        <f>3700000-250000-50000+100000+360000-155000-13000-280000-21600+74690-76150+10+50-34800-84500-1706178</f>
        <v>1563522</v>
      </c>
      <c r="E1783" s="210"/>
      <c r="F1783" s="210"/>
      <c r="G1783" s="210">
        <f>SUM(D1783:F1783)</f>
        <v>1563522</v>
      </c>
    </row>
    <row r="1784" spans="1:7" ht="24.95" customHeight="1">
      <c r="A1784" s="486"/>
      <c r="C1784" s="179" t="s">
        <v>765</v>
      </c>
      <c r="D1784" s="296"/>
      <c r="E1784" s="296"/>
      <c r="F1784" s="296"/>
      <c r="G1784" s="296">
        <f>SUM(D1784:F1784)</f>
        <v>0</v>
      </c>
    </row>
    <row r="1785" spans="1:7">
      <c r="A1785" s="486"/>
      <c r="C1785" s="179"/>
      <c r="D1785" s="296"/>
      <c r="E1785" s="296"/>
      <c r="F1785" s="296"/>
      <c r="G1785" s="296">
        <f>SUM(D1785:F1785)</f>
        <v>0</v>
      </c>
    </row>
    <row r="1786" spans="1:7">
      <c r="A1786" s="486"/>
      <c r="C1786" s="76" t="s">
        <v>767</v>
      </c>
      <c r="D1786" s="285">
        <v>1710000</v>
      </c>
      <c r="E1786" s="285">
        <v>-1691152</v>
      </c>
      <c r="F1786" s="285"/>
      <c r="G1786" s="285">
        <f>SUM(D1786:F1786)</f>
        <v>18848</v>
      </c>
    </row>
    <row r="1787" spans="1:7">
      <c r="A1787" s="486"/>
      <c r="C1787" s="179"/>
      <c r="D1787" s="285"/>
      <c r="E1787" s="285"/>
      <c r="G1787" s="285">
        <f>SUM(D1787:F1787)</f>
        <v>0</v>
      </c>
    </row>
    <row r="1788" spans="1:7">
      <c r="A1788" s="486"/>
      <c r="C1788" s="76" t="s">
        <v>766</v>
      </c>
      <c r="D1788" s="285">
        <v>88345398</v>
      </c>
      <c r="E1788" s="285"/>
      <c r="F1788" s="285">
        <v>18500000</v>
      </c>
      <c r="G1788" s="285">
        <f>SUM(D1788:F1788)</f>
        <v>106845398</v>
      </c>
    </row>
    <row r="1789" spans="1:7">
      <c r="A1789" s="486"/>
      <c r="C1789" s="76"/>
      <c r="D1789" s="291"/>
      <c r="E1789" s="291"/>
      <c r="G1789" s="291">
        <f>SUM(D1789:F1789)</f>
        <v>0</v>
      </c>
    </row>
    <row r="1790" spans="1:7" ht="15.75">
      <c r="A1790" s="486"/>
      <c r="C1790" s="632" t="s">
        <v>51</v>
      </c>
      <c r="D1790" s="633">
        <f ca="1">SUMIF($C$7:D$1788,$C$1718,D$7:D$1788)+D1776+D1778+D1786+D1788</f>
        <v>549035526</v>
      </c>
      <c r="E1790" s="633">
        <f ca="1">SUMIF($C$7:E$1788,$C$1718,E$7:E$1788)+E1776+E1778+E1786+E1788</f>
        <v>0</v>
      </c>
      <c r="F1790" s="633">
        <f ca="1">SUMIF($C$7:F$1788,$C$1718,F$7:F$1788)+F1776+F1778+F1786+F1788</f>
        <v>28442126</v>
      </c>
      <c r="G1790" s="633">
        <f ca="1">SUMIF($C$7:G$1788,$C$1718,G$7:G$1788)+G1776+G1778+G1786+G1788</f>
        <v>577477652</v>
      </c>
    </row>
    <row r="1791" spans="1:7">
      <c r="A1791" s="486"/>
      <c r="C1791" s="171" t="s">
        <v>121</v>
      </c>
      <c r="D1791" s="453">
        <f ca="1">SUMIF($C$7:D$1788,$C$1791,D$7:D$1788)-D74-D120-D357-D386-D395-D432-D463-D514-D537-D586-D790-D811-D840-D851-D1023-D1043-D1118-D1128-D186-D240-D254-D261-D268-D275-D282-D156-D166-D176-D183-D247-D169</f>
        <v>129394397</v>
      </c>
      <c r="E1791" s="453">
        <f ca="1">SUMIF($C$7:E$1788,$C$1791,E$7:E$1788)-E74-E120-E357-E386-E395-E432-E463-E514-E537-E586-E790-E811-E840-E851-E1023-E1043-E1118-E1128-E186-E240-E254-E261-E268-E275-E282-E156-E166-E176-E183-E247-E169</f>
        <v>1263940</v>
      </c>
      <c r="F1791" s="453">
        <f ca="1">SUMIF($C$7:F$1788,$C$1791,F$7:F$1788)-F74-F120-F357-F386-F395-F432-F463-F514-F537-F586-F790-F811-F840-F851-F1023-F1043-F1118-F1128-F186-F240-F254-F261-F268-F275-F282-F156-F166-F176-F183-F247-F169</f>
        <v>1658989</v>
      </c>
      <c r="G1791" s="453">
        <f ca="1">SUMIF($C$7:G$1788,$C$1791,G$7:G$1788)-G74-G120-G357-G386-G395-G432-G463-G514-G537-G586-G790-G811-G840-G851-G1023-G1043-G1118-G1128-G186-G240-G254-G261-G268-G275-G282-G156-G166-G176-G183-G247-G169</f>
        <v>132317326</v>
      </c>
    </row>
    <row r="1792" spans="1:7">
      <c r="A1792" s="486"/>
      <c r="C1792" s="59" t="s">
        <v>825</v>
      </c>
      <c r="D1792" s="317">
        <f ca="1">SUMIF($C$7:D$1788,$C$1792,D$7:D$1788)</f>
        <v>44047515</v>
      </c>
      <c r="E1792" s="317">
        <f ca="1">SUMIF($C$7:E$1788,$C$1792,E$7:E$1788)</f>
        <v>0</v>
      </c>
      <c r="F1792" s="317">
        <f ca="1">SUMIF($C$7:F$1788,$C$1792,F$7:F$1788)</f>
        <v>1756356</v>
      </c>
      <c r="G1792" s="317">
        <f ca="1">SUMIF($C$7:G$1788,$C$1792,G$7:G$1788)</f>
        <v>45803871</v>
      </c>
    </row>
    <row r="1793" spans="1:9">
      <c r="A1793" s="486"/>
      <c r="D1793" s="335"/>
      <c r="E1793" s="335"/>
      <c r="F1793" s="335"/>
      <c r="G1793" s="335"/>
    </row>
    <row r="1794" spans="1:9" ht="15.75">
      <c r="A1794" s="486"/>
      <c r="C1794" s="634" t="s">
        <v>118</v>
      </c>
      <c r="D1794" s="635">
        <f ca="1">SUMIF($C$7:D$1788,$C$9,D$7:D$1788)+D1776+D1778+D1786+D1788</f>
        <v>549035526</v>
      </c>
      <c r="E1794" s="635">
        <f ca="1">SUMIF($C$7:E$1788,$C$9,E$7:E$1788)+E1776+E1778+E1786+E1788</f>
        <v>0</v>
      </c>
      <c r="F1794" s="635">
        <f ca="1">SUMIF($C$7:F$1788,$C$9,F$7:F$1788)+F1776+F1778+F1786+F1788</f>
        <v>28442126</v>
      </c>
      <c r="G1794" s="635">
        <f ca="1">SUMIF($C$7:G$1788,$C$9,G$7:G$1788)+G1776+G1778+G1786+G1788</f>
        <v>577477652</v>
      </c>
      <c r="H1794" s="103"/>
      <c r="I1794" s="583"/>
    </row>
    <row r="1795" spans="1:9">
      <c r="A1795" s="486"/>
      <c r="C1795" s="60" t="s">
        <v>119</v>
      </c>
      <c r="D1795" s="301">
        <f ca="1">SUMIF($C$7:D$1788,$C$1795,D$7:D$1788)</f>
        <v>75179749</v>
      </c>
      <c r="E1795" s="301">
        <f ca="1">SUMIF($C$7:E$1788,$C$1795,E$7:E$1788)</f>
        <v>0</v>
      </c>
      <c r="F1795" s="301">
        <f ca="1">SUMIF($C$7:F$1788,$C$1795,F$7:F$1788)</f>
        <v>4235706</v>
      </c>
      <c r="G1795" s="301">
        <f ca="1">SUMIF($C$7:G$1788,$C$1795,G$7:G$1788)</f>
        <v>79415455</v>
      </c>
      <c r="H1795" s="103"/>
      <c r="I1795" s="583"/>
    </row>
    <row r="1796" spans="1:9">
      <c r="A1796" s="486"/>
      <c r="C1796" s="61" t="s">
        <v>106</v>
      </c>
      <c r="D1796" s="301">
        <f ca="1">SUMIF($C$7:D$1788,$C$457,D$7:D$1788)</f>
        <v>1590219</v>
      </c>
      <c r="E1796" s="301">
        <f ca="1">SUMIF($C$7:E$1788,$C$457,E$7:E$1788)</f>
        <v>0</v>
      </c>
      <c r="F1796" s="301">
        <f ca="1">SUMIF($C$7:F$1788,$C$457,F$7:F$1788)</f>
        <v>291161</v>
      </c>
      <c r="G1796" s="301">
        <f ca="1">SUMIF($C$7:G$1788,$C$457,G$7:G$1788)</f>
        <v>1881380</v>
      </c>
      <c r="H1796" s="103"/>
      <c r="I1796" s="583"/>
    </row>
    <row r="1797" spans="1:9">
      <c r="A1797" s="486"/>
      <c r="C1797" s="61" t="s">
        <v>972</v>
      </c>
      <c r="D1797" s="301">
        <f ca="1">SUMIF($C$7:D$1788,$C$1797,D$7:D$1788)</f>
        <v>0</v>
      </c>
      <c r="E1797" s="301">
        <f ca="1">SUMIF($C$7:E$1788,$C$1797,E$7:E$1788)</f>
        <v>0</v>
      </c>
      <c r="F1797" s="301">
        <f ca="1">SUMIF($C$7:F$1788,$C$1797,F$7:F$1788)</f>
        <v>490</v>
      </c>
      <c r="G1797" s="301">
        <f ca="1">SUMIF($C$7:G$1788,$C$1797,G$7:G$1788)</f>
        <v>490</v>
      </c>
      <c r="H1797" s="103"/>
      <c r="I1797" s="583"/>
    </row>
    <row r="1798" spans="1:9">
      <c r="A1798" s="486"/>
      <c r="C1798" s="61" t="s">
        <v>0</v>
      </c>
      <c r="D1798" s="301">
        <f ca="1">SUMIF($C$7:D$1788,$C$1798,D$7:D$1788)+D1788</f>
        <v>89109020</v>
      </c>
      <c r="E1798" s="301">
        <f ca="1">SUMIF($C$7:E$1788,$C$1798,E$7:E$1788)+E1788</f>
        <v>0</v>
      </c>
      <c r="F1798" s="301">
        <f ca="1">SUMIF($C$7:F$1788,$C$1798,F$7:F$1788)+F1788</f>
        <v>18498937</v>
      </c>
      <c r="G1798" s="301">
        <f ca="1">SUMIF($C$7:G$1788,$C$1798,G$7:G$1788)+G1788</f>
        <v>107607957</v>
      </c>
      <c r="H1798" s="103"/>
      <c r="I1798" s="583"/>
    </row>
    <row r="1799" spans="1:9">
      <c r="A1799" s="486"/>
      <c r="C1799" s="61" t="s">
        <v>120</v>
      </c>
      <c r="D1799" s="301">
        <f ca="1">SUMIF($C$7:D$1788,$C$11,D$7:D$1788)+D1778+D1786+D1776</f>
        <v>383156538</v>
      </c>
      <c r="E1799" s="301">
        <f ca="1">SUMIF($C$7:E$1788,$C$11,E$7:E$1788)+E1778+E1786+E1776</f>
        <v>0</v>
      </c>
      <c r="F1799" s="301">
        <f ca="1">SUMIF($C$7:F$1788,$C$11,F$7:F$1788)+F1778+F1786+F1776</f>
        <v>5415832</v>
      </c>
      <c r="G1799" s="301">
        <f ca="1">SUMIF($C$7:G$1788,$C$11,G$7:G$1788)+G1778+G1786+G1776</f>
        <v>388572370</v>
      </c>
      <c r="H1799" s="103"/>
      <c r="I1799" s="583"/>
    </row>
    <row r="1800" spans="1:9">
      <c r="A1800" s="61"/>
      <c r="C1800" s="61"/>
      <c r="D1800" s="4">
        <f ca="1">D1794-SUM(D1795:D1799)</f>
        <v>0</v>
      </c>
      <c r="E1800" s="4">
        <f ca="1">E1794-SUM(E1795:E1799)</f>
        <v>0</v>
      </c>
      <c r="F1800" s="4">
        <f ca="1">F1794-SUM(F1795:F1799)</f>
        <v>0</v>
      </c>
      <c r="G1800" s="4">
        <f ca="1">G1794-SUM(G1795:G1799)</f>
        <v>0</v>
      </c>
    </row>
    <row r="1801" spans="1:9">
      <c r="A1801" s="61"/>
      <c r="C1801" s="61"/>
      <c r="D1801" s="4">
        <f ca="1">D1790-D1794</f>
        <v>0</v>
      </c>
      <c r="E1801" s="4">
        <f ca="1">E1790-E1794</f>
        <v>0</v>
      </c>
      <c r="F1801" s="4">
        <f ca="1">F1790-F1794</f>
        <v>0</v>
      </c>
      <c r="G1801" s="4">
        <f ca="1">G1790-G1794</f>
        <v>0</v>
      </c>
    </row>
    <row r="1802" spans="1:9">
      <c r="A1802" s="61"/>
      <c r="C1802" s="61"/>
      <c r="D1802" s="4"/>
      <c r="E1802" s="4"/>
      <c r="F1802" s="4"/>
      <c r="G1802" s="636"/>
    </row>
    <row r="1803" spans="1:9">
      <c r="A1803" s="61"/>
      <c r="C1803" s="61"/>
      <c r="D1803" s="4"/>
      <c r="E1803" s="4"/>
      <c r="F1803" s="4"/>
      <c r="G1803" s="4"/>
    </row>
    <row r="1804" spans="1:9">
      <c r="A1804" s="30"/>
      <c r="C1804" s="487"/>
      <c r="D1804" s="77"/>
      <c r="E1804" s="77"/>
      <c r="F1804" s="77"/>
      <c r="G1804" s="77"/>
    </row>
    <row r="1805" spans="1:9">
      <c r="A1805" s="5"/>
      <c r="C1805" s="3" t="s">
        <v>844</v>
      </c>
      <c r="D1805" s="210">
        <f ca="1">SUMIF($A$1:D$1793,$C1805,D$1:D$1793)</f>
        <v>2538220</v>
      </c>
      <c r="E1805" s="210">
        <f ca="1">SUMIF($A$1:E$1793,$C1805,E$1:E$1793)</f>
        <v>40144</v>
      </c>
      <c r="F1805" s="210">
        <f ca="1">SUMIF($A$1:F$1793,$C1805,F$1:F$1793)</f>
        <v>7315</v>
      </c>
      <c r="G1805" s="210">
        <f ca="1">SUMIF($A$1:G$1793,$C1805,G$1:G$1793)</f>
        <v>2585679</v>
      </c>
    </row>
    <row r="1806" spans="1:9">
      <c r="C1806" s="3" t="s">
        <v>845</v>
      </c>
      <c r="D1806" s="210">
        <f ca="1">SUMIF($A$1:D$1793,$C1806,D$1:D$1793)</f>
        <v>41103392</v>
      </c>
      <c r="E1806" s="210">
        <f ca="1">SUMIF($A$1:E$1793,$C1806,E$1:E$1793)</f>
        <v>948123</v>
      </c>
      <c r="F1806" s="210">
        <f ca="1">SUMIF($A$1:F$1793,$C1806,F$1:F$1793)</f>
        <v>381496</v>
      </c>
      <c r="G1806" s="210">
        <f ca="1">SUMIF($A$1:G$1793,$C1806,G$1:G$1793)</f>
        <v>42433011</v>
      </c>
    </row>
    <row r="1807" spans="1:9">
      <c r="C1807" s="3" t="s">
        <v>846</v>
      </c>
      <c r="D1807" s="210">
        <f ca="1">SUMIF($A$1:D$1793,$C1807,D$1:D$1793)</f>
        <v>143741800</v>
      </c>
      <c r="E1807" s="210">
        <f ca="1">SUMIF($A$1:E$1793,$C1807,E$1:E$1793)</f>
        <v>73811</v>
      </c>
      <c r="F1807" s="210">
        <f ca="1">SUMIF($A$1:F$1793,$C1807,F$1:F$1793)</f>
        <v>798006</v>
      </c>
      <c r="G1807" s="210">
        <f ca="1">SUMIF($A$1:G$1793,$C1807,G$1:G$1793)</f>
        <v>144613617</v>
      </c>
    </row>
    <row r="1808" spans="1:9">
      <c r="C1808" s="3" t="s">
        <v>847</v>
      </c>
      <c r="D1808" s="210">
        <f ca="1">SUMIF($A$1:D$1793,$C1808,D$1:D$1793)</f>
        <v>28359976</v>
      </c>
      <c r="E1808" s="210">
        <f ca="1">SUMIF($A$1:E$1793,$C1808,E$1:E$1793)</f>
        <v>24863</v>
      </c>
      <c r="F1808" s="210">
        <f ca="1">SUMIF($A$1:F$1793,$C1808,F$1:F$1793)</f>
        <v>565172</v>
      </c>
      <c r="G1808" s="210">
        <f ca="1">SUMIF($A$1:G$1793,$C1808,G$1:G$1793)</f>
        <v>28950011</v>
      </c>
    </row>
    <row r="1809" spans="3:7">
      <c r="C1809" s="3" t="s">
        <v>848</v>
      </c>
      <c r="D1809" s="210">
        <f ca="1">SUMIF($A$1:D$1793,$C1809,D$1:D$1793)</f>
        <v>18011404</v>
      </c>
      <c r="E1809" s="210">
        <f ca="1">SUMIF($A$1:E$1793,$C1809,E$1:E$1793)</f>
        <v>20934</v>
      </c>
      <c r="F1809" s="210">
        <f ca="1">SUMIF($A$1:F$1793,$C1809,F$1:F$1793)</f>
        <v>130918</v>
      </c>
      <c r="G1809" s="210">
        <f ca="1">SUMIF($A$1:G$1793,$C1809,G$1:G$1793)</f>
        <v>18163256</v>
      </c>
    </row>
    <row r="1810" spans="3:7">
      <c r="C1810" s="3" t="s">
        <v>849</v>
      </c>
      <c r="D1810" s="210">
        <f ca="1">SUMIF($A$1:D$1793,$C1810,D$1:D$1793)</f>
        <v>1809101</v>
      </c>
      <c r="E1810" s="210">
        <f ca="1">SUMIF($A$1:E$1793,$C1810,E$1:E$1793)</f>
        <v>5339</v>
      </c>
      <c r="F1810" s="210">
        <f ca="1">SUMIF($A$1:F$1793,$C1810,F$1:F$1793)</f>
        <v>405502</v>
      </c>
      <c r="G1810" s="210">
        <f ca="1">SUMIF($A$1:G$1793,$C1810,G$1:G$1793)</f>
        <v>2219942</v>
      </c>
    </row>
    <row r="1811" spans="3:7">
      <c r="C1811" s="3" t="s">
        <v>283</v>
      </c>
      <c r="D1811" s="210">
        <f ca="1">SUMIF($A$1:D$1793,$C1811,D$1:D$1793)</f>
        <v>42683185</v>
      </c>
      <c r="E1811" s="210">
        <f ca="1">SUMIF($A$1:E$1793,$C1811,E$1:E$1793)</f>
        <v>36470</v>
      </c>
      <c r="F1811" s="210">
        <f ca="1">SUMIF($A$1:F$1793,$C1811,F$1:F$1793)</f>
        <v>1290668</v>
      </c>
      <c r="G1811" s="210">
        <f ca="1">SUMIF($A$1:G$1793,$C1811,G$1:G$1793)</f>
        <v>44010323</v>
      </c>
    </row>
    <row r="1812" spans="3:7">
      <c r="C1812" s="3" t="s">
        <v>303</v>
      </c>
      <c r="D1812" s="210">
        <f ca="1">SUMIF($A$1:D$1793,$C1812,D$1:D$1793)</f>
        <v>11268989</v>
      </c>
      <c r="E1812" s="210">
        <f ca="1">SUMIF($A$1:E$1793,$C1812,E$1:E$1793)</f>
        <v>0</v>
      </c>
      <c r="F1812" s="210">
        <f ca="1">SUMIF($A$1:F$1793,$C1812,F$1:F$1793)</f>
        <v>404993</v>
      </c>
      <c r="G1812" s="210">
        <f ca="1">SUMIF($A$1:G$1793,$C1812,G$1:G$1793)</f>
        <v>11673982</v>
      </c>
    </row>
    <row r="1813" spans="3:7">
      <c r="C1813" s="3" t="s">
        <v>850</v>
      </c>
      <c r="D1813" s="210">
        <f ca="1">SUMIF($A$1:D$1793,$C1813,D$1:D$1793)</f>
        <v>20625497</v>
      </c>
      <c r="E1813" s="210">
        <f ca="1">SUMIF($A$1:E$1793,$C1813,E$1:E$1793)</f>
        <v>81329</v>
      </c>
      <c r="F1813" s="210">
        <f ca="1">SUMIF($A$1:F$1793,$C1813,F$1:F$1793)</f>
        <v>217732</v>
      </c>
      <c r="G1813" s="210">
        <f ca="1">SUMIF($A$1:G$1793,$C1813,G$1:G$1793)</f>
        <v>20924558</v>
      </c>
    </row>
    <row r="1814" spans="3:7">
      <c r="C1814" s="3" t="s">
        <v>851</v>
      </c>
      <c r="D1814" s="210">
        <f ca="1">SUMIF($A$1:D$1793,$C1814,D$1:D$1793)</f>
        <v>0</v>
      </c>
      <c r="E1814" s="210">
        <f ca="1">SUMIF($A$1:E$1793,$C1814,E$1:E$1793)</f>
        <v>0</v>
      </c>
      <c r="F1814" s="210">
        <f ca="1">SUMIF($A$1:F$1793,$C1814,F$1:F$1793)</f>
        <v>0</v>
      </c>
      <c r="G1814" s="210">
        <f ca="1">SUMIF($A$1:G$1793,$C1814,G$1:G$1793)</f>
        <v>0</v>
      </c>
    </row>
    <row r="1815" spans="3:7">
      <c r="C1815" s="3" t="s">
        <v>852</v>
      </c>
      <c r="D1815" s="210">
        <f ca="1">SUMIF($A$1:D$1793,$C1815,D$1:D$1793)</f>
        <v>4520101</v>
      </c>
      <c r="E1815" s="210">
        <f ca="1">SUMIF($A$1:E$1793,$C1815,E$1:E$1793)</f>
        <v>74406</v>
      </c>
      <c r="F1815" s="210">
        <f ca="1">SUMIF($A$1:F$1793,$C1815,F$1:F$1793)</f>
        <v>149339</v>
      </c>
      <c r="G1815" s="210">
        <f ca="1">SUMIF($A$1:G$1793,$C1815,G$1:G$1793)</f>
        <v>4743846</v>
      </c>
    </row>
    <row r="1816" spans="3:7">
      <c r="C1816" s="3" t="s">
        <v>853</v>
      </c>
      <c r="D1816" s="210">
        <f ca="1">SUMIF($A$1:D$1793,$C1816,D$1:D$1793)</f>
        <v>76090948</v>
      </c>
      <c r="E1816" s="210">
        <f ca="1">SUMIF($A$1:E$1793,$C1816,E$1:E$1793)</f>
        <v>56730</v>
      </c>
      <c r="F1816" s="210">
        <f ca="1">SUMIF($A$1:F$1793,$C1816,F$1:F$1793)</f>
        <v>334457</v>
      </c>
      <c r="G1816" s="210">
        <f ca="1">SUMIF($A$1:G$1793,$C1816,G$1:G$1793)</f>
        <v>76482135</v>
      </c>
    </row>
    <row r="1817" spans="3:7">
      <c r="C1817" s="3" t="s">
        <v>854</v>
      </c>
      <c r="D1817" s="210">
        <f ca="1">SUMIF($A$1:D$1793,$C1817,D$1:D$1793)</f>
        <v>29911175</v>
      </c>
      <c r="E1817" s="210">
        <f ca="1">SUMIF($A$1:E$1793,$C1817,E$1:E$1793)</f>
        <v>0</v>
      </c>
      <c r="F1817" s="210">
        <f ca="1">SUMIF($A$1:F$1793,$C1817,F$1:F$1793)</f>
        <v>2964543</v>
      </c>
      <c r="G1817" s="210">
        <f ca="1">SUMIF($A$1:G$1793,$C1817,G$1:G$1793)</f>
        <v>32875718</v>
      </c>
    </row>
    <row r="1818" spans="3:7">
      <c r="C1818" s="3" t="s">
        <v>664</v>
      </c>
      <c r="D1818" s="210">
        <f ca="1">SUMIF($A$1:D$1793,$C1818,D$1:D$1793)</f>
        <v>13973213</v>
      </c>
      <c r="E1818" s="210">
        <f ca="1">SUMIF($A$1:E$1793,$C1818,E$1:E$1793)</f>
        <v>0</v>
      </c>
      <c r="F1818" s="210">
        <f ca="1">SUMIF($A$1:F$1793,$C1818,F$1:F$1793)</f>
        <v>590701</v>
      </c>
      <c r="G1818" s="210">
        <f ca="1">SUMIF($A$1:G$1793,$C1818,G$1:G$1793)</f>
        <v>14563914</v>
      </c>
    </row>
    <row r="1819" spans="3:7">
      <c r="C1819" s="3" t="s">
        <v>788</v>
      </c>
      <c r="D1819" s="210">
        <f ca="1">SUMIF($A$1:D$1793,$C1819,D$1:D$1793)</f>
        <v>5390465</v>
      </c>
      <c r="E1819" s="210">
        <f ca="1">SUMIF($A$1:E$1793,$C1819,E$1:E$1793)</f>
        <v>0</v>
      </c>
      <c r="F1819" s="210">
        <f ca="1">SUMIF($A$1:F$1793,$C1819,F$1:F$1793)</f>
        <v>8000</v>
      </c>
      <c r="G1819" s="210">
        <f ca="1">SUMIF($A$1:G$1793,$C1819,G$1:G$1793)</f>
        <v>5398465</v>
      </c>
    </row>
    <row r="1820" spans="3:7">
      <c r="C1820" s="3" t="s">
        <v>855</v>
      </c>
      <c r="D1820" s="210">
        <f ca="1">SUMIF($A$1:D$1793,$C1820,D$1:D$1793)</f>
        <v>1745000</v>
      </c>
      <c r="E1820" s="210">
        <f ca="1">SUMIF($A$1:E$1793,$C1820,E$1:E$1793)</f>
        <v>65823</v>
      </c>
      <c r="F1820" s="210">
        <f ca="1">SUMIF($A$1:F$1793,$C1820,F$1:F$1793)</f>
        <v>22049</v>
      </c>
      <c r="G1820" s="210">
        <f ca="1">SUMIF($A$1:G$1793,$C1820,G$1:G$1793)</f>
        <v>1832872</v>
      </c>
    </row>
    <row r="1821" spans="3:7">
      <c r="C1821" s="3" t="s">
        <v>856</v>
      </c>
      <c r="D1821" s="210">
        <f ca="1">SUMIF($A$1:D$1793,$C1821,D$1:D$1793)</f>
        <v>1657585</v>
      </c>
      <c r="E1821" s="210">
        <f ca="1">SUMIF($A$1:E$1793,$C1821,E$1:E$1793)</f>
        <v>44701</v>
      </c>
      <c r="F1821" s="210">
        <f ca="1">SUMIF($A$1:F$1793,$C1821,F$1:F$1793)</f>
        <v>215093</v>
      </c>
      <c r="G1821" s="210">
        <f ca="1">SUMIF($A$1:G$1793,$C1821,G$1:G$1793)</f>
        <v>1917379</v>
      </c>
    </row>
    <row r="1822" spans="3:7">
      <c r="C1822" s="3" t="s">
        <v>857</v>
      </c>
      <c r="D1822" s="210">
        <f ca="1">SUMIF($A$1:D$1793,$C1822,D$1:D$1793)</f>
        <v>4172787</v>
      </c>
      <c r="E1822" s="210">
        <f ca="1">SUMIF($A$1:E$1793,$C1822,E$1:E$1793)</f>
        <v>114641</v>
      </c>
      <c r="F1822" s="210">
        <f ca="1">SUMIF($A$1:F$1793,$C1822,F$1:F$1793)</f>
        <v>30689</v>
      </c>
      <c r="G1822" s="210">
        <f ca="1">SUMIF($A$1:G$1793,$C1822,G$1:G$1793)</f>
        <v>4318117</v>
      </c>
    </row>
    <row r="1823" spans="3:7">
      <c r="C1823" s="3" t="s">
        <v>858</v>
      </c>
      <c r="D1823" s="210">
        <f ca="1">SUMIF($A$1:D$1793,$C1823,D$1:D$1793)</f>
        <v>0</v>
      </c>
      <c r="E1823" s="210">
        <f ca="1">SUMIF($A$1:E$1793,$C1823,E$1:E$1793)</f>
        <v>0</v>
      </c>
      <c r="F1823" s="210">
        <f ca="1">SUMIF($A$1:F$1793,$C1823,F$1:F$1793)</f>
        <v>0</v>
      </c>
      <c r="G1823" s="210">
        <f ca="1">SUMIF($A$1:G$1793,$C1823,G$1:G$1793)</f>
        <v>0</v>
      </c>
    </row>
    <row r="1824" spans="3:7">
      <c r="C1824" s="3" t="s">
        <v>859</v>
      </c>
      <c r="D1824" s="210">
        <f ca="1">SUMIF($A$1:D$1793,$C1824,D$1:D$1793)</f>
        <v>3617553</v>
      </c>
      <c r="E1824" s="210">
        <f ca="1">SUMIF($A$1:E$1793,$C1824,E$1:E$1793)</f>
        <v>103838</v>
      </c>
      <c r="F1824" s="210">
        <f ca="1">SUMIF($A$1:F$1793,$C1824,F$1:F$1793)</f>
        <v>80727</v>
      </c>
      <c r="G1824" s="210">
        <f ca="1">SUMIF($A$1:G$1793,$C1824,G$1:G$1793)</f>
        <v>3802118</v>
      </c>
    </row>
    <row r="1825" spans="3:7">
      <c r="C1825" s="488" t="s">
        <v>860</v>
      </c>
      <c r="D1825" s="6">
        <f ca="1">SUM(D1805:D1824)</f>
        <v>451220391</v>
      </c>
      <c r="E1825" s="6">
        <f t="shared" ref="E1825:G1825" ca="1" si="69">SUM(E1805:E1824)</f>
        <v>1691152</v>
      </c>
      <c r="F1825" s="6">
        <f t="shared" ca="1" si="69"/>
        <v>8597400</v>
      </c>
      <c r="G1825" s="6">
        <f t="shared" ca="1" si="69"/>
        <v>461508943</v>
      </c>
    </row>
    <row r="1826" spans="3:7">
      <c r="C1826" s="3" t="s">
        <v>861</v>
      </c>
      <c r="D1826" s="210">
        <f>D1776</f>
        <v>4000000</v>
      </c>
      <c r="E1826" s="210">
        <f>E1776</f>
        <v>0</v>
      </c>
      <c r="F1826" s="210">
        <f>F1776</f>
        <v>0</v>
      </c>
      <c r="G1826" s="210">
        <f>G1776</f>
        <v>4000000</v>
      </c>
    </row>
    <row r="1827" spans="3:7">
      <c r="C1827" s="3" t="s">
        <v>862</v>
      </c>
      <c r="D1827" s="210">
        <f>D1779+D1771+D1713+D1656+D1579+D1520+D1438+D1386+D1316</f>
        <v>1096215</v>
      </c>
      <c r="E1827" s="210">
        <f>E1779+E1771+E1713+E1656+E1579+E1520+E1438+E1386+E1316</f>
        <v>0</v>
      </c>
      <c r="F1827" s="210">
        <f>F1779+F1771+F1713+F1656+F1579+F1520+F1438+F1386+F1316</f>
        <v>-101666</v>
      </c>
      <c r="G1827" s="210">
        <f>G1779+G1771+G1713+G1656+G1579+G1520+G1438+G1386+G1316</f>
        <v>994549</v>
      </c>
    </row>
    <row r="1828" spans="3:7">
      <c r="C1828" s="3" t="s">
        <v>863</v>
      </c>
      <c r="D1828" s="210">
        <f>D1781</f>
        <v>1000000</v>
      </c>
      <c r="E1828" s="210">
        <f>E1781</f>
        <v>0</v>
      </c>
      <c r="F1828" s="210">
        <f>F1781</f>
        <v>-87500</v>
      </c>
      <c r="G1828" s="210">
        <f>G1781</f>
        <v>912500</v>
      </c>
    </row>
    <row r="1829" spans="3:7">
      <c r="C1829" s="489" t="s">
        <v>864</v>
      </c>
      <c r="D1829" s="210">
        <f>D1782</f>
        <v>100000</v>
      </c>
      <c r="E1829" s="210">
        <f>E1782</f>
        <v>0</v>
      </c>
      <c r="F1829" s="210">
        <f>F1782</f>
        <v>1533892</v>
      </c>
      <c r="G1829" s="210">
        <f>G1782</f>
        <v>1633892</v>
      </c>
    </row>
    <row r="1830" spans="3:7">
      <c r="C1830" s="240" t="s">
        <v>865</v>
      </c>
      <c r="D1830" s="210">
        <f>D1783</f>
        <v>1563522</v>
      </c>
      <c r="E1830" s="210">
        <f>E1783</f>
        <v>0</v>
      </c>
      <c r="F1830" s="210">
        <f>F1783</f>
        <v>0</v>
      </c>
      <c r="G1830" s="210">
        <f>G1783</f>
        <v>1563522</v>
      </c>
    </row>
    <row r="1831" spans="3:7">
      <c r="C1831" s="240" t="s">
        <v>767</v>
      </c>
      <c r="D1831" s="210">
        <f>D1786</f>
        <v>1710000</v>
      </c>
      <c r="E1831" s="210">
        <f>E1786</f>
        <v>-1691152</v>
      </c>
      <c r="F1831" s="210">
        <f>F1786</f>
        <v>0</v>
      </c>
      <c r="G1831" s="210">
        <f>G1786</f>
        <v>18848</v>
      </c>
    </row>
    <row r="1832" spans="3:7">
      <c r="C1832" s="488" t="s">
        <v>866</v>
      </c>
      <c r="D1832" s="6">
        <f ca="1">SUM(D1825:D1831)</f>
        <v>460690128</v>
      </c>
      <c r="E1832" s="6">
        <f t="shared" ref="E1832:G1832" ca="1" si="70">SUM(E1825:E1831)</f>
        <v>0</v>
      </c>
      <c r="F1832" s="6">
        <f t="shared" ca="1" si="70"/>
        <v>9942126</v>
      </c>
      <c r="G1832" s="6">
        <f t="shared" ca="1" si="70"/>
        <v>470632254</v>
      </c>
    </row>
    <row r="1833" spans="3:7">
      <c r="C1833" s="3" t="s">
        <v>867</v>
      </c>
      <c r="D1833" s="51">
        <f>D1788</f>
        <v>88345398</v>
      </c>
      <c r="E1833" s="51">
        <f>E1788</f>
        <v>0</v>
      </c>
      <c r="F1833" s="51">
        <f>F1788</f>
        <v>18500000</v>
      </c>
      <c r="G1833" s="51">
        <f>G1788</f>
        <v>106845398</v>
      </c>
    </row>
    <row r="1834" spans="3:7">
      <c r="C1834" s="488" t="s">
        <v>51</v>
      </c>
      <c r="D1834" s="6">
        <f ca="1">D1832+D1833</f>
        <v>549035526</v>
      </c>
      <c r="E1834" s="6">
        <f t="shared" ref="E1834:G1834" ca="1" si="71">E1832+E1833</f>
        <v>0</v>
      </c>
      <c r="F1834" s="6">
        <f t="shared" ca="1" si="71"/>
        <v>28442126</v>
      </c>
      <c r="G1834" s="6">
        <f t="shared" ca="1" si="71"/>
        <v>577477652</v>
      </c>
    </row>
    <row r="1835" spans="3:7">
      <c r="C1835" s="488"/>
      <c r="D1835" s="52">
        <f ca="1">D1834-D1794</f>
        <v>0</v>
      </c>
      <c r="E1835" s="52">
        <f ca="1">E1834-E1794</f>
        <v>0</v>
      </c>
      <c r="F1835" s="52">
        <f ca="1">F1834-F1794</f>
        <v>0</v>
      </c>
      <c r="G1835" s="52">
        <f ca="1">G1834-G1794</f>
        <v>0</v>
      </c>
    </row>
    <row r="1836" spans="3:7">
      <c r="C1836" s="487"/>
      <c r="D1836" s="52"/>
      <c r="E1836" s="52"/>
      <c r="F1836" s="52"/>
      <c r="G1836" s="52"/>
    </row>
    <row r="1837" spans="3:7">
      <c r="C1837" s="490" t="s">
        <v>868</v>
      </c>
      <c r="D1837" s="52"/>
      <c r="E1837" s="52"/>
      <c r="F1837" s="52"/>
      <c r="G1837" s="52"/>
    </row>
    <row r="1838" spans="3:7">
      <c r="C1838" s="488"/>
      <c r="F1838" s="453"/>
    </row>
    <row r="1839" spans="3:7">
      <c r="C1839" s="3" t="s">
        <v>869</v>
      </c>
      <c r="D1839" s="210">
        <f ca="1">SUMIF($B$1:D$1788,$C1839,D$1:D$1788)</f>
        <v>2280974</v>
      </c>
      <c r="E1839" s="210">
        <f ca="1">SUMIF($B$1:E$1788,$C1839,E$1:E$1788)</f>
        <v>45226</v>
      </c>
      <c r="F1839" s="210">
        <f ca="1">SUMIF($B$1:F$1788,$C1839,F$1:F$1788)</f>
        <v>131523</v>
      </c>
      <c r="G1839" s="210">
        <f ca="1">SUMIF($B$1:G$1788,$C1839,G$1:G$1788)</f>
        <v>2457723</v>
      </c>
    </row>
    <row r="1840" spans="3:7">
      <c r="C1840" s="3" t="s">
        <v>241</v>
      </c>
      <c r="D1840" s="210">
        <f ca="1">SUMIF($B$1:D$1788,$C1840,D$1:D$1788)</f>
        <v>29522008</v>
      </c>
      <c r="E1840" s="210">
        <f ca="1">SUMIF($B$1:E$1788,$C1840,E$1:E$1788)</f>
        <v>463906</v>
      </c>
      <c r="F1840" s="210">
        <f ca="1">SUMIF($B$1:F$1788,$C1840,F$1:F$1788)</f>
        <v>-6411</v>
      </c>
      <c r="G1840" s="210">
        <f ca="1">SUMIF($B$1:G$1788,$C1840,G$1:G$1788)</f>
        <v>29979503</v>
      </c>
    </row>
    <row r="1841" spans="3:7">
      <c r="C1841" s="3" t="s">
        <v>109</v>
      </c>
      <c r="D1841" s="210">
        <f ca="1">SUMIF($B$1:D$1788,$C1841,D$1:D$1788)</f>
        <v>912220</v>
      </c>
      <c r="E1841" s="210">
        <f ca="1">SUMIF($B$1:E$1788,$C1841,E$1:E$1788)</f>
        <v>28085</v>
      </c>
      <c r="F1841" s="210">
        <f ca="1">SUMIF($B$1:F$1788,$C1841,F$1:F$1788)</f>
        <v>4000</v>
      </c>
      <c r="G1841" s="210">
        <f ca="1">SUMIF($B$1:G$1788,$C1841,G$1:G$1788)</f>
        <v>944305</v>
      </c>
    </row>
    <row r="1842" spans="3:7">
      <c r="C1842" s="3" t="s">
        <v>242</v>
      </c>
      <c r="D1842" s="210">
        <f ca="1">SUMIF($B$1:D$1788,$C1842,D$1:D$1788)</f>
        <v>1107820</v>
      </c>
      <c r="E1842" s="210">
        <f ca="1">SUMIF($B$1:E$1788,$C1842,E$1:E$1788)</f>
        <v>32394</v>
      </c>
      <c r="F1842" s="210">
        <f ca="1">SUMIF($B$1:F$1788,$C1842,F$1:F$1788)</f>
        <v>25311</v>
      </c>
      <c r="G1842" s="210">
        <f ca="1">SUMIF($B$1:G$1788,$C1842,G$1:G$1788)</f>
        <v>1165525</v>
      </c>
    </row>
    <row r="1843" spans="3:7">
      <c r="C1843" s="3" t="s">
        <v>122</v>
      </c>
      <c r="D1843" s="210">
        <f ca="1">SUMIF($B$1:D$1788,$C1843,D$1:D$1788)</f>
        <v>140753590</v>
      </c>
      <c r="E1843" s="210">
        <f ca="1">SUMIF($B$1:E$1788,$C1843,E$1:E$1788)</f>
        <v>73811</v>
      </c>
      <c r="F1843" s="210">
        <f ca="1">SUMIF($B$1:F$1788,$C1843,F$1:F$1788)</f>
        <v>1041006</v>
      </c>
      <c r="G1843" s="210">
        <f ca="1">SUMIF($B$1:G$1788,$C1843,G$1:G$1788)</f>
        <v>141868407</v>
      </c>
    </row>
    <row r="1844" spans="3:7">
      <c r="C1844" s="3" t="s">
        <v>149</v>
      </c>
      <c r="D1844" s="210">
        <f ca="1">SUMIF($B$1:D$1788,$C1844,D$1:D$1788)</f>
        <v>18900341</v>
      </c>
      <c r="E1844" s="210">
        <f ca="1">SUMIF($B$1:E$1788,$C1844,E$1:E$1788)</f>
        <v>24863</v>
      </c>
      <c r="F1844" s="210">
        <f ca="1">SUMIF($B$1:F$1788,$C1844,F$1:F$1788)</f>
        <v>370304</v>
      </c>
      <c r="G1844" s="210">
        <f ca="1">SUMIF($B$1:G$1788,$C1844,G$1:G$1788)</f>
        <v>19295508</v>
      </c>
    </row>
    <row r="1845" spans="3:7">
      <c r="C1845" s="3" t="s">
        <v>246</v>
      </c>
      <c r="D1845" s="210">
        <f ca="1">SUMIF($B$1:D$1788,$C1845,D$1:D$1788)</f>
        <v>18624400</v>
      </c>
      <c r="E1845" s="210">
        <f ca="1">SUMIF($B$1:E$1788,$C1845,E$1:E$1788)</f>
        <v>26273</v>
      </c>
      <c r="F1845" s="210">
        <f ca="1">SUMIF($B$1:F$1788,$C1845,F$1:F$1788)</f>
        <v>508795</v>
      </c>
      <c r="G1845" s="210">
        <f ca="1">SUMIF($B$1:G$1788,$C1845,G$1:G$1788)</f>
        <v>19159468</v>
      </c>
    </row>
    <row r="1846" spans="3:7">
      <c r="C1846" s="3" t="s">
        <v>251</v>
      </c>
      <c r="D1846" s="210">
        <f ca="1">SUMIF($B$1:D$1788,$C1846,D$1:D$1788)</f>
        <v>47705782</v>
      </c>
      <c r="E1846" s="210">
        <f ca="1">SUMIF($B$1:E$1788,$C1846,E$1:E$1788)</f>
        <v>36470</v>
      </c>
      <c r="F1846" s="210">
        <f ca="1">SUMIF($B$1:F$1788,$C1846,F$1:F$1788)</f>
        <v>1664685</v>
      </c>
      <c r="G1846" s="210">
        <f ca="1">SUMIF($B$1:G$1788,$C1846,G$1:G$1788)</f>
        <v>49406937</v>
      </c>
    </row>
    <row r="1847" spans="3:7">
      <c r="C1847" s="5" t="s">
        <v>870</v>
      </c>
      <c r="D1847" s="210">
        <f ca="1">SUMIF($B$1:D$1788,$C1847,D$1:D$1788)</f>
        <v>17727400</v>
      </c>
      <c r="E1847" s="210">
        <f ca="1">SUMIF($B$1:E$1788,$C1847,E$1:E$1788)</f>
        <v>80398</v>
      </c>
      <c r="F1847" s="210">
        <f ca="1">SUMIF($B$1:F$1788,$C1847,F$1:F$1788)</f>
        <v>70263</v>
      </c>
      <c r="G1847" s="210">
        <f ca="1">SUMIF($B$1:G$1788,$C1847,G$1:G$1788)</f>
        <v>17878061</v>
      </c>
    </row>
    <row r="1848" spans="3:7">
      <c r="C1848" s="3" t="s">
        <v>320</v>
      </c>
      <c r="D1848" s="210">
        <f ca="1">SUMIF($B$1:D$1788,$C1848,D$1:D$1788)</f>
        <v>9137701</v>
      </c>
      <c r="E1848" s="210">
        <f ca="1">SUMIF($B$1:E$1788,$C1848,E$1:E$1788)</f>
        <v>74406</v>
      </c>
      <c r="F1848" s="210">
        <f ca="1">SUMIF($B$1:F$1788,$C1848,F$1:F$1788)</f>
        <v>209339</v>
      </c>
      <c r="G1848" s="210">
        <f ca="1">SUMIF($B$1:G$1788,$C1848,G$1:G$1788)</f>
        <v>9421446</v>
      </c>
    </row>
    <row r="1849" spans="3:7">
      <c r="C1849" s="5" t="s">
        <v>871</v>
      </c>
      <c r="D1849" s="210">
        <f ca="1">SUMIF($B$1:D$1788,$C1849,D$1:D$1788)</f>
        <v>76090948</v>
      </c>
      <c r="E1849" s="210">
        <f ca="1">SUMIF($B$1:E$1788,$C1849,E$1:E$1788)</f>
        <v>56730</v>
      </c>
      <c r="F1849" s="210">
        <f ca="1">SUMIF($B$1:F$1788,$C1849,F$1:F$1788)</f>
        <v>334457</v>
      </c>
      <c r="G1849" s="210">
        <f ca="1">SUMIF($B$1:G$1788,$C1849,G$1:G$1788)</f>
        <v>76482135</v>
      </c>
    </row>
    <row r="1850" spans="3:7">
      <c r="C1850" s="5" t="s">
        <v>872</v>
      </c>
      <c r="D1850" s="210">
        <f ca="1">SUMIF($B$1:D$1788,$C1850,D$1:D$1788)</f>
        <v>39423113</v>
      </c>
      <c r="E1850" s="210">
        <f ca="1">SUMIF($B$1:E$1788,$C1850,E$1:E$1788)</f>
        <v>65823</v>
      </c>
      <c r="F1850" s="210">
        <f ca="1">SUMIF($B$1:F$1788,$C1850,F$1:F$1788)</f>
        <v>3139128</v>
      </c>
      <c r="G1850" s="210">
        <f ca="1">SUMIF($B$1:G$1788,$C1850,G$1:G$1788)</f>
        <v>42628064</v>
      </c>
    </row>
    <row r="1851" spans="3:7">
      <c r="C1851" s="3" t="s">
        <v>352</v>
      </c>
      <c r="D1851" s="210">
        <f ca="1">SUMIF($B$1:D$1788,$C1851,D$1:D$1788)</f>
        <v>11460835</v>
      </c>
      <c r="E1851" s="210">
        <f ca="1">SUMIF($B$1:E$1788,$C1851,E$1:E$1788)</f>
        <v>44701</v>
      </c>
      <c r="F1851" s="210">
        <f ca="1">SUMIF($B$1:F$1788,$C1851,F$1:F$1788)</f>
        <v>254473</v>
      </c>
      <c r="G1851" s="210">
        <f ca="1">SUMIF($B$1:G$1788,$C1851,G$1:G$1788)</f>
        <v>11760009</v>
      </c>
    </row>
    <row r="1852" spans="3:7">
      <c r="C1852" s="3" t="s">
        <v>873</v>
      </c>
      <c r="D1852" s="210">
        <f ca="1">SUMIF($B$1:D$1788,$C1852,D$1:D$1788)</f>
        <v>5579047</v>
      </c>
      <c r="E1852" s="210">
        <f ca="1">SUMIF($B$1:E$1788,$C1852,E$1:E$1788)</f>
        <v>114641</v>
      </c>
      <c r="F1852" s="210">
        <f ca="1">SUMIF($B$1:F$1788,$C1852,F$1:F$1788)</f>
        <v>30689</v>
      </c>
      <c r="G1852" s="210">
        <f ca="1">SUMIF($B$1:G$1788,$C1852,G$1:G$1788)</f>
        <v>5724377</v>
      </c>
    </row>
    <row r="1853" spans="3:7">
      <c r="C1853" s="3" t="s">
        <v>874</v>
      </c>
      <c r="D1853" s="210">
        <f ca="1">SUMIF($B$1:D$1788,$C1853,D$1:D$1788)</f>
        <v>3452503</v>
      </c>
      <c r="E1853" s="210">
        <f ca="1">SUMIF($B$1:E$1788,$C1853,E$1:E$1788)</f>
        <v>103838</v>
      </c>
      <c r="F1853" s="210">
        <f ca="1">SUMIF($B$1:F$1788,$C1853,F$1:F$1788)</f>
        <v>80727</v>
      </c>
      <c r="G1853" s="210">
        <f ca="1">SUMIF($B$1:G$1788,$C1853,G$1:G$1788)</f>
        <v>3637068</v>
      </c>
    </row>
    <row r="1854" spans="3:7">
      <c r="C1854" s="3" t="s">
        <v>353</v>
      </c>
      <c r="D1854" s="210">
        <f ca="1">SUMIF($B$1:D$1788,$C1854,D$1:D$1788)</f>
        <v>2181813</v>
      </c>
      <c r="E1854" s="210">
        <f ca="1">SUMIF($B$1:E$1788,$C1854,E$1:E$1788)</f>
        <v>38318</v>
      </c>
      <c r="F1854" s="210">
        <f ca="1">SUMIF($B$1:F$1788,$C1854,F$1:F$1788)</f>
        <v>44830</v>
      </c>
      <c r="G1854" s="210">
        <f ca="1">SUMIF($B$1:G$1788,$C1854,G$1:G$1788)</f>
        <v>2264961</v>
      </c>
    </row>
    <row r="1855" spans="3:7">
      <c r="C1855" s="3" t="s">
        <v>768</v>
      </c>
      <c r="D1855" s="210">
        <f ca="1">SUMIF($B$1:D$1788,$C1855,D$1:D$1788)</f>
        <v>5423949</v>
      </c>
      <c r="E1855" s="210">
        <f ca="1">SUMIF($B$1:E$1788,$C1855,E$1:E$1788)</f>
        <v>70463</v>
      </c>
      <c r="F1855" s="210">
        <f ca="1">SUMIF($B$1:F$1788,$C1855,F$1:F$1788)</f>
        <v>251735</v>
      </c>
      <c r="G1855" s="210">
        <f ca="1">SUMIF($B$1:G$1788,$C1855,G$1:G$1788)</f>
        <v>5746147</v>
      </c>
    </row>
    <row r="1856" spans="3:7">
      <c r="C1856" s="3" t="s">
        <v>361</v>
      </c>
      <c r="D1856" s="210">
        <f ca="1">SUMIF($B$1:D$1788,$C1856,D$1:D$1788)</f>
        <v>2133916</v>
      </c>
      <c r="E1856" s="210">
        <f ca="1">SUMIF($B$1:E$1788,$C1856,E$1:E$1788)</f>
        <v>42742</v>
      </c>
      <c r="F1856" s="210">
        <f ca="1">SUMIF($B$1:F$1788,$C1856,F$1:F$1788)</f>
        <v>4256</v>
      </c>
      <c r="G1856" s="210">
        <f ca="1">SUMIF($B$1:G$1788,$C1856,G$1:G$1788)</f>
        <v>2180914</v>
      </c>
    </row>
    <row r="1857" spans="3:7">
      <c r="C1857" s="3" t="s">
        <v>362</v>
      </c>
      <c r="D1857" s="210">
        <f ca="1">SUMIF($B$1:D$1788,$C1857,D$1:D$1788)</f>
        <v>6245592</v>
      </c>
      <c r="E1857" s="210">
        <f ca="1">SUMIF($B$1:E$1788,$C1857,E$1:E$1788)</f>
        <v>79913</v>
      </c>
      <c r="F1857" s="210">
        <f ca="1">SUMIF($B$1:F$1788,$C1857,F$1:F$1788)</f>
        <v>11823</v>
      </c>
      <c r="G1857" s="210">
        <f ca="1">SUMIF($B$1:G$1788,$C1857,G$1:G$1788)</f>
        <v>6337328</v>
      </c>
    </row>
    <row r="1858" spans="3:7">
      <c r="C1858" s="3" t="s">
        <v>370</v>
      </c>
      <c r="D1858" s="210">
        <f ca="1">SUMIF($B$1:D$1788,$C1858,D$1:D$1788)</f>
        <v>3198936</v>
      </c>
      <c r="E1858" s="210">
        <f ca="1">SUMIF($B$1:E$1788,$C1858,E$1:E$1788)</f>
        <v>47947</v>
      </c>
      <c r="F1858" s="210">
        <f ca="1">SUMIF($B$1:F$1788,$C1858,F$1:F$1788)</f>
        <v>192620</v>
      </c>
      <c r="G1858" s="210">
        <f ca="1">SUMIF($B$1:G$1788,$C1858,G$1:G$1788)</f>
        <v>3439503</v>
      </c>
    </row>
    <row r="1859" spans="3:7">
      <c r="C1859" s="3" t="s">
        <v>371</v>
      </c>
      <c r="D1859" s="210">
        <f ca="1">SUMIF($B$1:D$1788,$C1859,D$1:D$1788)</f>
        <v>3227436</v>
      </c>
      <c r="E1859" s="210">
        <f ca="1">SUMIF($B$1:E$1788,$C1859,E$1:E$1788)</f>
        <v>46204</v>
      </c>
      <c r="F1859" s="210">
        <f ca="1">SUMIF($B$1:F$1788,$C1859,F$1:F$1788)</f>
        <v>26720</v>
      </c>
      <c r="G1859" s="210">
        <f ca="1">SUMIF($B$1:G$1788,$C1859,G$1:G$1788)</f>
        <v>3300360</v>
      </c>
    </row>
    <row r="1860" spans="3:7">
      <c r="C1860" s="3" t="s">
        <v>372</v>
      </c>
      <c r="D1860" s="210">
        <f ca="1">SUMIF($B$1:D$1788,$C1860,D$1:D$1788)</f>
        <v>1825349</v>
      </c>
      <c r="E1860" s="210">
        <f ca="1">SUMIF($B$1:E$1788,$C1860,E$1:E$1788)</f>
        <v>29994</v>
      </c>
      <c r="F1860" s="210">
        <f ca="1">SUMIF($B$1:F$1788,$C1860,F$1:F$1788)</f>
        <v>34807</v>
      </c>
      <c r="G1860" s="210">
        <f ca="1">SUMIF($B$1:G$1788,$C1860,G$1:G$1788)</f>
        <v>1890150</v>
      </c>
    </row>
    <row r="1861" spans="3:7">
      <c r="C1861" s="3" t="s">
        <v>373</v>
      </c>
      <c r="D1861" s="210">
        <f ca="1">SUMIF($B$1:D$1788,$C1861,D$1:D$1788)</f>
        <v>4461718</v>
      </c>
      <c r="E1861" s="210">
        <f ca="1">SUMIF($B$1:E$1788,$C1861,E$1:E$1788)</f>
        <v>64006</v>
      </c>
      <c r="F1861" s="210">
        <f ca="1">SUMIF($B$1:F$1788,$C1861,F$1:F$1788)</f>
        <v>107802</v>
      </c>
      <c r="G1861" s="210">
        <f ca="1">SUMIF($B$1:G$1788,$C1861,G$1:G$1788)</f>
        <v>4633526</v>
      </c>
    </row>
    <row r="1862" spans="3:7">
      <c r="C1862" s="488" t="s">
        <v>875</v>
      </c>
      <c r="D1862" s="6">
        <f ca="1">SUM(D1839:D1861)</f>
        <v>451377391</v>
      </c>
      <c r="E1862" s="6">
        <f t="shared" ref="E1862:G1862" ca="1" si="72">SUM(E1839:E1861)</f>
        <v>1691152</v>
      </c>
      <c r="F1862" s="6">
        <f t="shared" ca="1" si="72"/>
        <v>8532882</v>
      </c>
      <c r="G1862" s="6">
        <f t="shared" ca="1" si="72"/>
        <v>461601425</v>
      </c>
    </row>
    <row r="1863" spans="3:7">
      <c r="C1863" s="3" t="s">
        <v>861</v>
      </c>
      <c r="D1863" s="51">
        <f>D1776</f>
        <v>4000000</v>
      </c>
      <c r="E1863" s="51">
        <f>E1776</f>
        <v>0</v>
      </c>
      <c r="F1863" s="51">
        <f>F1776</f>
        <v>0</v>
      </c>
      <c r="G1863" s="51">
        <f>G1776</f>
        <v>4000000</v>
      </c>
    </row>
    <row r="1864" spans="3:7">
      <c r="C1864" s="3" t="s">
        <v>876</v>
      </c>
      <c r="D1864" s="51">
        <f>D1779</f>
        <v>939215</v>
      </c>
      <c r="E1864" s="51">
        <f>E1779</f>
        <v>0</v>
      </c>
      <c r="F1864" s="51">
        <f>F1779</f>
        <v>-37148</v>
      </c>
      <c r="G1864" s="51">
        <f>G1779</f>
        <v>902067</v>
      </c>
    </row>
    <row r="1865" spans="3:7">
      <c r="C1865" s="3" t="s">
        <v>863</v>
      </c>
      <c r="D1865" s="51">
        <f>D1781</f>
        <v>1000000</v>
      </c>
      <c r="E1865" s="51">
        <f>E1781</f>
        <v>0</v>
      </c>
      <c r="F1865" s="51">
        <f>F1781</f>
        <v>-87500</v>
      </c>
      <c r="G1865" s="51">
        <f>G1781</f>
        <v>912500</v>
      </c>
    </row>
    <row r="1866" spans="3:7">
      <c r="C1866" s="489" t="s">
        <v>864</v>
      </c>
      <c r="D1866" s="51">
        <f>D1782</f>
        <v>100000</v>
      </c>
      <c r="E1866" s="51">
        <f>E1782</f>
        <v>0</v>
      </c>
      <c r="F1866" s="51">
        <f>F1782</f>
        <v>1533892</v>
      </c>
      <c r="G1866" s="51">
        <f>G1782</f>
        <v>1633892</v>
      </c>
    </row>
    <row r="1867" spans="3:7">
      <c r="C1867" s="240" t="s">
        <v>865</v>
      </c>
      <c r="D1867" s="51">
        <f>D1783</f>
        <v>1563522</v>
      </c>
      <c r="E1867" s="51">
        <f>E1783</f>
        <v>0</v>
      </c>
      <c r="F1867" s="51">
        <f>F1783</f>
        <v>0</v>
      </c>
      <c r="G1867" s="51">
        <f>G1783</f>
        <v>1563522</v>
      </c>
    </row>
    <row r="1868" spans="3:7">
      <c r="C1868" s="240" t="s">
        <v>767</v>
      </c>
      <c r="D1868" s="51">
        <f>D1786</f>
        <v>1710000</v>
      </c>
      <c r="E1868" s="51">
        <f>E1786</f>
        <v>-1691152</v>
      </c>
      <c r="F1868" s="51">
        <f>F1786</f>
        <v>0</v>
      </c>
      <c r="G1868" s="51">
        <f>G1786</f>
        <v>18848</v>
      </c>
    </row>
    <row r="1869" spans="3:7">
      <c r="C1869" s="3" t="s">
        <v>867</v>
      </c>
      <c r="D1869" s="51">
        <f>D1788</f>
        <v>88345398</v>
      </c>
      <c r="E1869" s="51">
        <f>E1788</f>
        <v>0</v>
      </c>
      <c r="F1869" s="51">
        <f>F1788</f>
        <v>18500000</v>
      </c>
      <c r="G1869" s="51">
        <f>G1788</f>
        <v>106845398</v>
      </c>
    </row>
    <row r="1870" spans="3:7">
      <c r="C1870" s="488" t="s">
        <v>51</v>
      </c>
      <c r="D1870" s="6">
        <f ca="1">SUM(D1862:D1869)</f>
        <v>549035526</v>
      </c>
      <c r="E1870" s="6">
        <f t="shared" ref="E1870:G1870" ca="1" si="73">SUM(E1862:E1869)</f>
        <v>0</v>
      </c>
      <c r="F1870" s="6">
        <f t="shared" ca="1" si="73"/>
        <v>28442126</v>
      </c>
      <c r="G1870" s="6">
        <f t="shared" ca="1" si="73"/>
        <v>577477652</v>
      </c>
    </row>
    <row r="1871" spans="3:7">
      <c r="C1871" s="3"/>
      <c r="D1871" s="51">
        <f ca="1">D1870-D1790</f>
        <v>0</v>
      </c>
      <c r="E1871" s="51">
        <f ca="1">E1870-E1790</f>
        <v>0</v>
      </c>
      <c r="F1871" s="51">
        <f ca="1">F1870-F1790</f>
        <v>0</v>
      </c>
      <c r="G1871" s="51">
        <f ca="1">G1870-G1790</f>
        <v>0</v>
      </c>
    </row>
    <row r="1872" spans="3:7">
      <c r="C1872" s="490" t="s">
        <v>877</v>
      </c>
      <c r="D1872" s="51"/>
      <c r="E1872" s="51"/>
      <c r="F1872" s="51"/>
      <c r="G1872" s="51"/>
    </row>
    <row r="1873" spans="3:7">
      <c r="C1873" s="3" t="s">
        <v>47</v>
      </c>
      <c r="D1873" s="51">
        <f>D11</f>
        <v>2253490</v>
      </c>
      <c r="E1873" s="51">
        <f>E11</f>
        <v>45226</v>
      </c>
      <c r="F1873" s="51">
        <f>F11</f>
        <v>138353</v>
      </c>
      <c r="G1873" s="51">
        <f>G11</f>
        <v>2437069</v>
      </c>
    </row>
    <row r="1874" spans="3:7">
      <c r="C1874" s="3" t="s">
        <v>241</v>
      </c>
      <c r="D1874" s="51">
        <f>D33</f>
        <v>28859598</v>
      </c>
      <c r="E1874" s="51">
        <f>E33</f>
        <v>463906</v>
      </c>
      <c r="F1874" s="51">
        <f>F33</f>
        <v>-6411</v>
      </c>
      <c r="G1874" s="51">
        <f>G33</f>
        <v>29317093</v>
      </c>
    </row>
    <row r="1875" spans="3:7">
      <c r="C1875" s="3" t="s">
        <v>109</v>
      </c>
      <c r="D1875" s="51">
        <f>D113</f>
        <v>879154</v>
      </c>
      <c r="E1875" s="51">
        <f>E113</f>
        <v>28085</v>
      </c>
      <c r="F1875" s="51">
        <f>F113</f>
        <v>0</v>
      </c>
      <c r="G1875" s="51">
        <f>G113</f>
        <v>907239</v>
      </c>
    </row>
    <row r="1876" spans="3:7">
      <c r="C1876" s="3" t="s">
        <v>242</v>
      </c>
      <c r="D1876" s="51">
        <f>D130</f>
        <v>242280</v>
      </c>
      <c r="E1876" s="51">
        <f>E130</f>
        <v>32394</v>
      </c>
      <c r="F1876" s="51">
        <f>F130</f>
        <v>29219</v>
      </c>
      <c r="G1876" s="51">
        <f>G130</f>
        <v>303893</v>
      </c>
    </row>
    <row r="1877" spans="3:7">
      <c r="C1877" s="3" t="s">
        <v>122</v>
      </c>
      <c r="D1877" s="51">
        <f>D145</f>
        <v>112793717</v>
      </c>
      <c r="E1877" s="51">
        <f>E145</f>
        <v>73811</v>
      </c>
      <c r="F1877" s="51">
        <f>F145</f>
        <v>61246</v>
      </c>
      <c r="G1877" s="51">
        <f>G145</f>
        <v>112928774</v>
      </c>
    </row>
    <row r="1878" spans="3:7">
      <c r="C1878" s="3" t="s">
        <v>149</v>
      </c>
      <c r="D1878" s="51">
        <f>D231</f>
        <v>14182898</v>
      </c>
      <c r="E1878" s="51">
        <f>E231</f>
        <v>24863</v>
      </c>
      <c r="F1878" s="51">
        <f>F231</f>
        <v>25304</v>
      </c>
      <c r="G1878" s="51">
        <f>G231</f>
        <v>14233065</v>
      </c>
    </row>
    <row r="1879" spans="3:7">
      <c r="C1879" s="3" t="s">
        <v>246</v>
      </c>
      <c r="D1879" s="51">
        <f>D352</f>
        <v>12920726</v>
      </c>
      <c r="E1879" s="51">
        <f>E352</f>
        <v>26273</v>
      </c>
      <c r="F1879" s="51">
        <f>F352</f>
        <v>85223</v>
      </c>
      <c r="G1879" s="51">
        <f>G352</f>
        <v>13032222</v>
      </c>
    </row>
    <row r="1880" spans="3:7">
      <c r="C1880" s="3" t="s">
        <v>251</v>
      </c>
      <c r="D1880" s="51">
        <f>D458</f>
        <v>34436777</v>
      </c>
      <c r="E1880" s="51">
        <f>E458</f>
        <v>36470</v>
      </c>
      <c r="F1880" s="51">
        <f>F458</f>
        <v>255590</v>
      </c>
      <c r="G1880" s="51">
        <f>G458</f>
        <v>34728837</v>
      </c>
    </row>
    <row r="1881" spans="3:7">
      <c r="C1881" s="3" t="s">
        <v>112</v>
      </c>
      <c r="D1881" s="51">
        <f>D738</f>
        <v>14109760</v>
      </c>
      <c r="E1881" s="51">
        <f>E738</f>
        <v>80398</v>
      </c>
      <c r="F1881" s="51">
        <f>F738</f>
        <v>53263</v>
      </c>
      <c r="G1881" s="51">
        <f>G738</f>
        <v>14243421</v>
      </c>
    </row>
    <row r="1882" spans="3:7">
      <c r="C1882" s="3" t="s">
        <v>107</v>
      </c>
      <c r="D1882" s="51">
        <f>D785</f>
        <v>7630116</v>
      </c>
      <c r="E1882" s="51">
        <f>E785</f>
        <v>74406</v>
      </c>
      <c r="F1882" s="51">
        <f>F785</f>
        <v>-197181</v>
      </c>
      <c r="G1882" s="51">
        <f>G785</f>
        <v>7507341</v>
      </c>
    </row>
    <row r="1883" spans="3:7">
      <c r="C1883" s="3" t="s">
        <v>108</v>
      </c>
      <c r="D1883" s="51">
        <f>D908</f>
        <v>73947076</v>
      </c>
      <c r="E1883" s="51">
        <f>E908</f>
        <v>56730</v>
      </c>
      <c r="F1883" s="51">
        <f>F908</f>
        <v>315514</v>
      </c>
      <c r="G1883" s="51">
        <f>G908</f>
        <v>74319320</v>
      </c>
    </row>
    <row r="1884" spans="3:7">
      <c r="C1884" s="3" t="s">
        <v>348</v>
      </c>
      <c r="D1884" s="51">
        <f>D1018</f>
        <v>38701232</v>
      </c>
      <c r="E1884" s="51">
        <f>E1018</f>
        <v>65823</v>
      </c>
      <c r="F1884" s="51">
        <f>F1018</f>
        <v>2960088</v>
      </c>
      <c r="G1884" s="51">
        <f>G1018</f>
        <v>41727143</v>
      </c>
    </row>
    <row r="1885" spans="3:7">
      <c r="C1885" s="3" t="s">
        <v>352</v>
      </c>
      <c r="D1885" s="51">
        <f>D1098</f>
        <v>4486172</v>
      </c>
      <c r="E1885" s="51">
        <f>E1098</f>
        <v>44701</v>
      </c>
      <c r="F1885" s="51">
        <f>F1098</f>
        <v>40452</v>
      </c>
      <c r="G1885" s="51">
        <f>G1098</f>
        <v>4571325</v>
      </c>
    </row>
    <row r="1886" spans="3:7">
      <c r="C1886" s="3" t="s">
        <v>110</v>
      </c>
      <c r="D1886" s="51">
        <f>D1213</f>
        <v>5496859</v>
      </c>
      <c r="E1886" s="51">
        <f>E1213</f>
        <v>114641</v>
      </c>
      <c r="F1886" s="51">
        <f>F1213</f>
        <v>-7397</v>
      </c>
      <c r="G1886" s="51">
        <f>G1213</f>
        <v>5604103</v>
      </c>
    </row>
    <row r="1887" spans="3:7">
      <c r="C1887" s="3" t="s">
        <v>114</v>
      </c>
      <c r="D1887" s="51">
        <f>D1248</f>
        <v>3452503</v>
      </c>
      <c r="E1887" s="51">
        <f>E1248</f>
        <v>103838</v>
      </c>
      <c r="F1887" s="51">
        <f>F1248</f>
        <v>80727</v>
      </c>
      <c r="G1887" s="51">
        <f>G1248</f>
        <v>3637068</v>
      </c>
    </row>
    <row r="1888" spans="3:7">
      <c r="C1888" s="3" t="s">
        <v>353</v>
      </c>
      <c r="D1888" s="51">
        <f>D1267</f>
        <v>1788043</v>
      </c>
      <c r="E1888" s="51">
        <f>E1267</f>
        <v>38318</v>
      </c>
      <c r="F1888" s="51">
        <f>F1267</f>
        <v>-3070</v>
      </c>
      <c r="G1888" s="51">
        <f>G1267</f>
        <v>1823291</v>
      </c>
    </row>
    <row r="1889" spans="3:7">
      <c r="C1889" s="3" t="s">
        <v>768</v>
      </c>
      <c r="D1889" s="51">
        <f>D1325</f>
        <v>881719</v>
      </c>
      <c r="E1889" s="51">
        <f>E1325</f>
        <v>70463</v>
      </c>
      <c r="F1889" s="51">
        <f>F1325</f>
        <v>-22765</v>
      </c>
      <c r="G1889" s="51">
        <f>G1325</f>
        <v>929417</v>
      </c>
    </row>
    <row r="1890" spans="3:7">
      <c r="C1890" s="3" t="s">
        <v>361</v>
      </c>
      <c r="D1890" s="51">
        <f>D1395</f>
        <v>1846320</v>
      </c>
      <c r="E1890" s="51">
        <f>E1395</f>
        <v>42742</v>
      </c>
      <c r="F1890" s="51">
        <f>F1395</f>
        <v>-13644</v>
      </c>
      <c r="G1890" s="51">
        <f>G1395</f>
        <v>1875418</v>
      </c>
    </row>
    <row r="1891" spans="3:7">
      <c r="C1891" s="3" t="s">
        <v>362</v>
      </c>
      <c r="D1891" s="51">
        <f>D1447</f>
        <v>4893702</v>
      </c>
      <c r="E1891" s="51">
        <f>E1447</f>
        <v>79913</v>
      </c>
      <c r="F1891" s="51">
        <f>F1447</f>
        <v>6973</v>
      </c>
      <c r="G1891" s="51">
        <f>G1447</f>
        <v>4980588</v>
      </c>
    </row>
    <row r="1892" spans="3:7">
      <c r="C1892" s="3" t="s">
        <v>370</v>
      </c>
      <c r="D1892" s="51">
        <f>D1529</f>
        <v>2578336</v>
      </c>
      <c r="E1892" s="51">
        <f>E1529</f>
        <v>47947</v>
      </c>
      <c r="F1892" s="51">
        <f>F1529</f>
        <v>162990</v>
      </c>
      <c r="G1892" s="51">
        <f>G1529</f>
        <v>2789273</v>
      </c>
    </row>
    <row r="1893" spans="3:7">
      <c r="C1893" s="3" t="s">
        <v>371</v>
      </c>
      <c r="D1893" s="51">
        <f>D1588</f>
        <v>2528756</v>
      </c>
      <c r="E1893" s="51">
        <f>E1588</f>
        <v>46204</v>
      </c>
      <c r="F1893" s="51">
        <f>F1588</f>
        <v>685</v>
      </c>
      <c r="G1893" s="51">
        <f>G1588</f>
        <v>2575645</v>
      </c>
    </row>
    <row r="1894" spans="3:7">
      <c r="C1894" s="3" t="s">
        <v>372</v>
      </c>
      <c r="D1894" s="51">
        <f>D1667</f>
        <v>1580869</v>
      </c>
      <c r="E1894" s="51">
        <f>E1667</f>
        <v>29994</v>
      </c>
      <c r="F1894" s="51">
        <f>F1667</f>
        <v>-3283</v>
      </c>
      <c r="G1894" s="51">
        <f>G1667</f>
        <v>1607580</v>
      </c>
    </row>
    <row r="1895" spans="3:7">
      <c r="C1895" s="3" t="s">
        <v>373</v>
      </c>
      <c r="D1895" s="51">
        <f>D1722</f>
        <v>3353698</v>
      </c>
      <c r="E1895" s="51">
        <f>E1722</f>
        <v>64006</v>
      </c>
      <c r="F1895" s="51">
        <f>F1722</f>
        <v>44712</v>
      </c>
      <c r="G1895" s="51">
        <f>G1722</f>
        <v>3462416</v>
      </c>
    </row>
    <row r="1896" spans="3:7">
      <c r="C1896" s="488" t="s">
        <v>875</v>
      </c>
      <c r="D1896" s="6">
        <f>SUM(D1873:D1895)</f>
        <v>373843801</v>
      </c>
      <c r="E1896" s="6">
        <f t="shared" ref="E1896:G1896" si="74">SUM(E1873:E1895)</f>
        <v>1691152</v>
      </c>
      <c r="F1896" s="6">
        <f t="shared" si="74"/>
        <v>4006588</v>
      </c>
      <c r="G1896" s="6">
        <f t="shared" si="74"/>
        <v>379541541</v>
      </c>
    </row>
    <row r="1897" spans="3:7">
      <c r="C1897" s="3" t="s">
        <v>861</v>
      </c>
      <c r="D1897" s="51">
        <f>D1776</f>
        <v>4000000</v>
      </c>
      <c r="E1897" s="51">
        <f>E1776</f>
        <v>0</v>
      </c>
      <c r="F1897" s="51">
        <f>F1776</f>
        <v>0</v>
      </c>
      <c r="G1897" s="51">
        <f>G1776</f>
        <v>4000000</v>
      </c>
    </row>
    <row r="1898" spans="3:7">
      <c r="C1898" s="3" t="s">
        <v>876</v>
      </c>
      <c r="D1898" s="51">
        <f>D1779</f>
        <v>939215</v>
      </c>
      <c r="E1898" s="51">
        <f>E1779</f>
        <v>0</v>
      </c>
      <c r="F1898" s="51">
        <f>F1779</f>
        <v>-37148</v>
      </c>
      <c r="G1898" s="51">
        <f>G1779</f>
        <v>902067</v>
      </c>
    </row>
    <row r="1899" spans="3:7">
      <c r="C1899" s="3" t="s">
        <v>863</v>
      </c>
      <c r="D1899" s="51">
        <f>D1781</f>
        <v>1000000</v>
      </c>
      <c r="E1899" s="51">
        <f>E1781</f>
        <v>0</v>
      </c>
      <c r="F1899" s="51">
        <f>F1781</f>
        <v>-87500</v>
      </c>
      <c r="G1899" s="51">
        <f>G1781</f>
        <v>912500</v>
      </c>
    </row>
    <row r="1900" spans="3:7">
      <c r="C1900" s="489" t="s">
        <v>864</v>
      </c>
      <c r="D1900" s="51">
        <f>D1782</f>
        <v>100000</v>
      </c>
      <c r="E1900" s="51">
        <f>E1782</f>
        <v>0</v>
      </c>
      <c r="F1900" s="51">
        <f>F1782</f>
        <v>1533892</v>
      </c>
      <c r="G1900" s="51">
        <f>G1782</f>
        <v>1633892</v>
      </c>
    </row>
    <row r="1901" spans="3:7">
      <c r="C1901" s="240" t="s">
        <v>865</v>
      </c>
      <c r="D1901" s="51">
        <f>D1783</f>
        <v>1563522</v>
      </c>
      <c r="E1901" s="51">
        <f>E1783</f>
        <v>0</v>
      </c>
      <c r="F1901" s="51">
        <f>F1783</f>
        <v>0</v>
      </c>
      <c r="G1901" s="51">
        <f>G1783</f>
        <v>1563522</v>
      </c>
    </row>
    <row r="1902" spans="3:7">
      <c r="C1902" s="240" t="s">
        <v>767</v>
      </c>
      <c r="D1902" s="51">
        <f>D1786</f>
        <v>1710000</v>
      </c>
      <c r="E1902" s="51">
        <f>E1786</f>
        <v>-1691152</v>
      </c>
      <c r="F1902" s="51">
        <f>F1786</f>
        <v>0</v>
      </c>
      <c r="G1902" s="51">
        <f>G1786</f>
        <v>18848</v>
      </c>
    </row>
    <row r="1903" spans="3:7">
      <c r="C1903" s="488" t="s">
        <v>51</v>
      </c>
      <c r="D1903" s="6">
        <f>SUM(D1896:D1902)</f>
        <v>383156538</v>
      </c>
      <c r="E1903" s="6">
        <f t="shared" ref="E1903:G1903" si="75">SUM(E1896:E1902)</f>
        <v>0</v>
      </c>
      <c r="F1903" s="6">
        <f t="shared" si="75"/>
        <v>5415832</v>
      </c>
      <c r="G1903" s="6">
        <f t="shared" si="75"/>
        <v>388572370</v>
      </c>
    </row>
    <row r="1904" spans="3:7">
      <c r="C1904" s="61"/>
      <c r="D1904" s="51">
        <f ca="1">D1903-D1799</f>
        <v>0</v>
      </c>
      <c r="E1904" s="51">
        <f t="shared" ref="E1904:G1904" ca="1" si="76">E1903-E1799</f>
        <v>0</v>
      </c>
      <c r="F1904" s="51">
        <f t="shared" ca="1" si="76"/>
        <v>0</v>
      </c>
      <c r="G1904" s="51">
        <f t="shared" ca="1" si="76"/>
        <v>0</v>
      </c>
    </row>
    <row r="1905" spans="3:7">
      <c r="C1905" s="61"/>
      <c r="D1905" s="51"/>
      <c r="E1905" s="51"/>
      <c r="F1905" s="51"/>
      <c r="G1905" s="51"/>
    </row>
    <row r="1906" spans="3:7">
      <c r="C1906" s="490" t="s">
        <v>878</v>
      </c>
      <c r="D1906" s="51"/>
      <c r="E1906" s="51"/>
      <c r="F1906" s="51"/>
      <c r="G1906" s="51"/>
    </row>
    <row r="1907" spans="3:7">
      <c r="C1907" s="3" t="s">
        <v>47</v>
      </c>
      <c r="D1907" s="51">
        <f>D12</f>
        <v>1469811</v>
      </c>
      <c r="E1907" s="51">
        <f>E12</f>
        <v>33801</v>
      </c>
      <c r="F1907" s="51">
        <f>F12</f>
        <v>-5421</v>
      </c>
      <c r="G1907" s="51">
        <f>G12</f>
        <v>1498191</v>
      </c>
    </row>
    <row r="1908" spans="3:7">
      <c r="C1908" s="3" t="s">
        <v>241</v>
      </c>
      <c r="D1908" s="51">
        <f>D34</f>
        <v>8498165</v>
      </c>
      <c r="E1908" s="51">
        <f>E34</f>
        <v>346716</v>
      </c>
      <c r="F1908" s="51">
        <f>F34</f>
        <v>81377</v>
      </c>
      <c r="G1908" s="51">
        <f>G34</f>
        <v>8926258</v>
      </c>
    </row>
    <row r="1909" spans="3:7">
      <c r="C1909" s="3" t="s">
        <v>109</v>
      </c>
      <c r="D1909" s="51">
        <f>D114</f>
        <v>475195</v>
      </c>
      <c r="E1909" s="51">
        <f>E114</f>
        <v>20990</v>
      </c>
      <c r="F1909" s="51">
        <f>F114</f>
        <v>20876</v>
      </c>
      <c r="G1909" s="51">
        <f>G114</f>
        <v>517061</v>
      </c>
    </row>
    <row r="1910" spans="3:7">
      <c r="C1910" s="3" t="s">
        <v>242</v>
      </c>
      <c r="D1910" s="51">
        <f>D131</f>
        <v>692072</v>
      </c>
      <c r="E1910" s="51">
        <f>E131</f>
        <v>24211</v>
      </c>
      <c r="F1910" s="51">
        <f>F131</f>
        <v>21752</v>
      </c>
      <c r="G1910" s="51">
        <f>G131</f>
        <v>738035</v>
      </c>
    </row>
    <row r="1911" spans="3:7">
      <c r="C1911" s="3" t="s">
        <v>122</v>
      </c>
      <c r="D1911" s="51">
        <f>D146</f>
        <v>66166091</v>
      </c>
      <c r="E1911" s="51">
        <f>E146</f>
        <v>55165</v>
      </c>
      <c r="F1911" s="51">
        <f>F146</f>
        <v>383944</v>
      </c>
      <c r="G1911" s="51">
        <f>G146</f>
        <v>66605200</v>
      </c>
    </row>
    <row r="1912" spans="3:7">
      <c r="C1912" s="3" t="s">
        <v>149</v>
      </c>
      <c r="D1912" s="51">
        <f>D232</f>
        <v>8450300</v>
      </c>
      <c r="E1912" s="51">
        <f>E232</f>
        <v>18582</v>
      </c>
      <c r="F1912" s="51">
        <f>F232</f>
        <v>67555</v>
      </c>
      <c r="G1912" s="51">
        <f>G232</f>
        <v>8536437</v>
      </c>
    </row>
    <row r="1913" spans="3:7">
      <c r="C1913" s="3" t="s">
        <v>246</v>
      </c>
      <c r="D1913" s="51">
        <f>D353</f>
        <v>3325874</v>
      </c>
      <c r="E1913" s="51">
        <f>E353</f>
        <v>19636</v>
      </c>
      <c r="F1913" s="51">
        <f>F353</f>
        <v>86116</v>
      </c>
      <c r="G1913" s="51">
        <f>G353</f>
        <v>3431626</v>
      </c>
    </row>
    <row r="1914" spans="3:7">
      <c r="C1914" s="3" t="s">
        <v>251</v>
      </c>
      <c r="D1914" s="51">
        <f>D459</f>
        <v>14532869</v>
      </c>
      <c r="E1914" s="51">
        <f>E459</f>
        <v>27257</v>
      </c>
      <c r="F1914" s="51">
        <f>F459</f>
        <v>905505</v>
      </c>
      <c r="G1914" s="51">
        <f>G459</f>
        <v>15465631</v>
      </c>
    </row>
    <row r="1915" spans="3:7">
      <c r="C1915" s="3" t="s">
        <v>112</v>
      </c>
      <c r="D1915" s="51">
        <f>D739</f>
        <v>1477960</v>
      </c>
      <c r="E1915" s="51">
        <f>E739</f>
        <v>60088</v>
      </c>
      <c r="F1915" s="51">
        <f>F739</f>
        <v>15013</v>
      </c>
      <c r="G1915" s="51">
        <f>G739</f>
        <v>1553061</v>
      </c>
    </row>
    <row r="1916" spans="3:7">
      <c r="C1916" s="3" t="s">
        <v>107</v>
      </c>
      <c r="D1916" s="51">
        <f>D786</f>
        <v>1656069</v>
      </c>
      <c r="E1916" s="51">
        <f>E786</f>
        <v>55610</v>
      </c>
      <c r="F1916" s="51">
        <f>F786</f>
        <v>-13614</v>
      </c>
      <c r="G1916" s="51">
        <f>G786</f>
        <v>1698065</v>
      </c>
    </row>
    <row r="1917" spans="3:7">
      <c r="C1917" s="3" t="s">
        <v>108</v>
      </c>
      <c r="D1917" s="51">
        <f>D909</f>
        <v>1173013</v>
      </c>
      <c r="E1917" s="51">
        <f>E909</f>
        <v>42399</v>
      </c>
      <c r="F1917" s="51">
        <f>F909</f>
        <v>-38486</v>
      </c>
      <c r="G1917" s="51">
        <f>G909</f>
        <v>1176926</v>
      </c>
    </row>
    <row r="1918" spans="3:7">
      <c r="C1918" s="3" t="s">
        <v>348</v>
      </c>
      <c r="D1918" s="51">
        <f>D1019</f>
        <v>1794373</v>
      </c>
      <c r="E1918" s="51">
        <f>E1019</f>
        <v>49195</v>
      </c>
      <c r="F1918" s="51">
        <f>F1019</f>
        <v>70784</v>
      </c>
      <c r="G1918" s="51">
        <f>G1019</f>
        <v>1914352</v>
      </c>
    </row>
    <row r="1919" spans="3:7">
      <c r="C1919" s="3" t="s">
        <v>352</v>
      </c>
      <c r="D1919" s="51">
        <f>D1099</f>
        <v>2591693</v>
      </c>
      <c r="E1919" s="51">
        <f>E1099</f>
        <v>33409</v>
      </c>
      <c r="F1919" s="51">
        <f>F1099</f>
        <v>67860</v>
      </c>
      <c r="G1919" s="51">
        <f>G1099</f>
        <v>2692962</v>
      </c>
    </row>
    <row r="1920" spans="3:7">
      <c r="C1920" s="3" t="s">
        <v>110</v>
      </c>
      <c r="D1920" s="51">
        <f>D1214</f>
        <v>2251020</v>
      </c>
      <c r="E1920" s="51">
        <f>E1214</f>
        <v>85681</v>
      </c>
      <c r="F1920" s="51">
        <f>F1214</f>
        <v>17796</v>
      </c>
      <c r="G1920" s="51">
        <f>G1214</f>
        <v>2354497</v>
      </c>
    </row>
    <row r="1921" spans="3:7">
      <c r="C1921" s="3" t="s">
        <v>114</v>
      </c>
      <c r="D1921" s="51">
        <f>D1249</f>
        <v>1788870</v>
      </c>
      <c r="E1921" s="51">
        <f>E1249</f>
        <v>77607</v>
      </c>
      <c r="F1921" s="51">
        <f>F1249</f>
        <v>40220</v>
      </c>
      <c r="G1921" s="51">
        <f>G1249</f>
        <v>1906697</v>
      </c>
    </row>
    <row r="1922" spans="3:7">
      <c r="C1922" s="3" t="s">
        <v>353</v>
      </c>
      <c r="D1922" s="51">
        <f>D1268</f>
        <v>1017022</v>
      </c>
      <c r="E1922" s="51">
        <f>E1268</f>
        <v>28638</v>
      </c>
      <c r="F1922" s="51">
        <f>F1268</f>
        <v>-1717</v>
      </c>
      <c r="G1922" s="51">
        <f>G1268</f>
        <v>1043943</v>
      </c>
    </row>
    <row r="1923" spans="3:7">
      <c r="C1923" s="3" t="s">
        <v>768</v>
      </c>
      <c r="D1923" s="51">
        <f>D1326</f>
        <v>1927325</v>
      </c>
      <c r="E1923" s="51">
        <f>E1326</f>
        <v>52663</v>
      </c>
      <c r="F1923" s="51">
        <f>F1326</f>
        <v>-11313</v>
      </c>
      <c r="G1923" s="51">
        <f>G1326</f>
        <v>1968675</v>
      </c>
    </row>
    <row r="1924" spans="3:7">
      <c r="C1924" s="3" t="s">
        <v>361</v>
      </c>
      <c r="D1924" s="51">
        <f>D1396</f>
        <v>1183407</v>
      </c>
      <c r="E1924" s="51">
        <f>E1396</f>
        <v>31945</v>
      </c>
      <c r="F1924" s="51">
        <f>F1396</f>
        <v>-5223</v>
      </c>
      <c r="G1924" s="51">
        <f>G1396</f>
        <v>1210129</v>
      </c>
    </row>
    <row r="1925" spans="3:7">
      <c r="C1925" s="3" t="s">
        <v>362</v>
      </c>
      <c r="D1925" s="51">
        <f>D1448</f>
        <v>2860796</v>
      </c>
      <c r="E1925" s="51">
        <f>E1448</f>
        <v>59726</v>
      </c>
      <c r="F1925" s="51">
        <f>F1448</f>
        <v>-1409</v>
      </c>
      <c r="G1925" s="51">
        <f>G1448</f>
        <v>2919113</v>
      </c>
    </row>
    <row r="1926" spans="3:7">
      <c r="C1926" s="3" t="s">
        <v>370</v>
      </c>
      <c r="D1926" s="51">
        <f>D1530</f>
        <v>1687259</v>
      </c>
      <c r="E1926" s="51">
        <f>E1530</f>
        <v>35835</v>
      </c>
      <c r="F1926" s="51">
        <f>F1530</f>
        <v>-38032</v>
      </c>
      <c r="G1926" s="51">
        <f>G1530</f>
        <v>1685062</v>
      </c>
    </row>
    <row r="1927" spans="3:7">
      <c r="C1927" s="3" t="s">
        <v>371</v>
      </c>
      <c r="D1927" s="51">
        <f>D1589</f>
        <v>1523732</v>
      </c>
      <c r="E1927" s="51">
        <f>E1589</f>
        <v>34532</v>
      </c>
      <c r="F1927" s="51">
        <f>F1589</f>
        <v>-5298</v>
      </c>
      <c r="G1927" s="51">
        <f>G1589</f>
        <v>1552966</v>
      </c>
    </row>
    <row r="1928" spans="3:7">
      <c r="C1928" s="3" t="s">
        <v>372</v>
      </c>
      <c r="D1928" s="51">
        <f>D1668</f>
        <v>819347</v>
      </c>
      <c r="E1928" s="51">
        <f>E1668</f>
        <v>22417</v>
      </c>
      <c r="F1928" s="51">
        <f>F1668</f>
        <v>-722</v>
      </c>
      <c r="G1928" s="51">
        <f>G1668</f>
        <v>841042</v>
      </c>
    </row>
    <row r="1929" spans="3:7">
      <c r="C1929" s="3" t="s">
        <v>373</v>
      </c>
      <c r="D1929" s="51">
        <f>D1723</f>
        <v>2032134</v>
      </c>
      <c r="E1929" s="51">
        <f>E1723</f>
        <v>47837</v>
      </c>
      <c r="F1929" s="51">
        <f>F1723</f>
        <v>1426</v>
      </c>
      <c r="G1929" s="51">
        <f>G1723</f>
        <v>2081397</v>
      </c>
    </row>
    <row r="1930" spans="3:7">
      <c r="C1930" s="488" t="s">
        <v>875</v>
      </c>
      <c r="D1930" s="6">
        <f>SUM(D1907:D1929)</f>
        <v>129394397</v>
      </c>
      <c r="E1930" s="6">
        <f t="shared" ref="E1930:G1930" si="77">SUM(E1907:E1929)</f>
        <v>1263940</v>
      </c>
      <c r="F1930" s="6">
        <f t="shared" si="77"/>
        <v>1658989</v>
      </c>
      <c r="G1930" s="6">
        <f t="shared" si="77"/>
        <v>132317326</v>
      </c>
    </row>
    <row r="1931" spans="3:7">
      <c r="D1931" s="453">
        <f ca="1">D1930-D1791</f>
        <v>0</v>
      </c>
      <c r="E1931" s="453">
        <f ca="1">E1930-E1791</f>
        <v>0</v>
      </c>
      <c r="F1931" s="453">
        <f ca="1">F1930-F1791</f>
        <v>0</v>
      </c>
      <c r="G1931" s="453">
        <f ca="1">G1930-G1791</f>
        <v>0</v>
      </c>
    </row>
  </sheetData>
  <autoFilter ref="C4:G1931"/>
  <mergeCells count="1">
    <mergeCell ref="D3:G3"/>
  </mergeCells>
  <phoneticPr fontId="32" type="noConversion"/>
  <printOptions gridLines="1"/>
  <pageMargins left="0.78740157480314965" right="0.27559055118110237" top="0.47244094488188981" bottom="0.98425196850393704" header="0.51181102362204722" footer="0.51181102362204722"/>
  <pageSetup paperSize="9" scale="70" fitToHeight="7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79998168889431442"/>
  </sheetPr>
  <dimension ref="A1:L310"/>
  <sheetViews>
    <sheetView showZeros="0" topLeftCell="C1" zoomScaleNormal="100" workbookViewId="0">
      <pane ySplit="5" topLeftCell="A6" activePane="bottomLeft" state="frozen"/>
      <selection activeCell="C1" sqref="C1"/>
      <selection pane="bottomLeft" activeCell="C1" sqref="A1:C1"/>
    </sheetView>
  </sheetViews>
  <sheetFormatPr defaultColWidth="9.140625" defaultRowHeight="12.75"/>
  <cols>
    <col min="1" max="1" width="10.5703125" style="641" hidden="1" customWidth="1"/>
    <col min="2" max="2" width="4.42578125" style="641" hidden="1" customWidth="1"/>
    <col min="3" max="3" width="64" style="644" customWidth="1"/>
    <col min="4" max="4" width="7.5703125" style="641" customWidth="1"/>
    <col min="5" max="5" width="12" style="641" customWidth="1"/>
    <col min="6" max="6" width="12" style="641" hidden="1" customWidth="1"/>
    <col min="7" max="7" width="12" style="641" customWidth="1"/>
    <col min="8" max="8" width="11.140625" style="641" customWidth="1"/>
    <col min="9" max="9" width="11.140625" style="641" hidden="1" customWidth="1"/>
    <col min="10" max="10" width="11.140625" style="641" customWidth="1"/>
    <col min="11" max="16384" width="9.140625" style="641"/>
  </cols>
  <sheetData>
    <row r="1" spans="1:11" ht="15">
      <c r="C1" s="642" t="s">
        <v>1034</v>
      </c>
      <c r="H1" s="643"/>
      <c r="I1" s="643"/>
      <c r="J1" s="643"/>
    </row>
    <row r="2" spans="1:11" ht="12.75" customHeight="1">
      <c r="C2" s="642"/>
      <c r="H2" s="643"/>
      <c r="I2" s="643"/>
      <c r="J2" s="643"/>
    </row>
    <row r="3" spans="1:11">
      <c r="C3" s="645"/>
      <c r="H3" s="646" t="s">
        <v>52</v>
      </c>
      <c r="I3" s="646"/>
      <c r="J3" s="646"/>
    </row>
    <row r="4" spans="1:11" ht="38.25">
      <c r="C4" s="645"/>
      <c r="E4" s="591" t="s">
        <v>835</v>
      </c>
      <c r="F4" s="647"/>
      <c r="G4" s="591" t="s">
        <v>836</v>
      </c>
      <c r="H4" s="591" t="s">
        <v>835</v>
      </c>
      <c r="I4" s="647">
        <f t="shared" ref="H4:J4" ca="1" si="0">I6-SUM(I7:I11)</f>
        <v>0</v>
      </c>
      <c r="J4" s="591" t="s">
        <v>836</v>
      </c>
    </row>
    <row r="5" spans="1:11" ht="30.75" customHeight="1">
      <c r="A5" s="648" t="s">
        <v>1036</v>
      </c>
      <c r="B5" s="649" t="s">
        <v>1037</v>
      </c>
      <c r="C5" s="650" t="s">
        <v>1038</v>
      </c>
      <c r="D5" s="651" t="s">
        <v>1039</v>
      </c>
      <c r="E5" s="652" t="s">
        <v>1250</v>
      </c>
      <c r="F5" s="800" t="s">
        <v>1040</v>
      </c>
      <c r="G5" s="652" t="s">
        <v>1250</v>
      </c>
      <c r="H5" s="801">
        <v>2018</v>
      </c>
      <c r="I5" s="653" t="s">
        <v>941</v>
      </c>
      <c r="J5" s="801">
        <v>2018</v>
      </c>
    </row>
    <row r="6" spans="1:11">
      <c r="A6" s="644" t="e">
        <f>SUM(A7:A276)</f>
        <v>#REF!</v>
      </c>
      <c r="B6" s="644"/>
      <c r="C6" s="654" t="s">
        <v>1041</v>
      </c>
      <c r="D6" s="655" t="s">
        <v>1042</v>
      </c>
      <c r="E6" s="655">
        <f>E12+E50+E98+E104+E118+E122+E193+E201+E208+E257+E267+E269+E250</f>
        <v>383960677</v>
      </c>
      <c r="F6" s="655">
        <f>F12+F50+F98+F104+F118+F122+F193+F201+F208+F257+F267+F269+F250</f>
        <v>35217662</v>
      </c>
      <c r="G6" s="655">
        <f>E6+F6</f>
        <v>419178339</v>
      </c>
      <c r="H6" s="655">
        <f>H12+H50+H98+H104+H118+H122+H193+H201+H208+H257+H267+H269+H250</f>
        <v>114908068</v>
      </c>
      <c r="I6" s="655">
        <f>I12+I50+I98+I104+I118+I122+I193+I201+I208+I257+I267+I269+I250</f>
        <v>5944385</v>
      </c>
      <c r="J6" s="655">
        <f>SUM(H6:I6)</f>
        <v>120852453</v>
      </c>
      <c r="K6" s="644">
        <f>F6-'[4]4 INVEST'!E11</f>
        <v>0</v>
      </c>
    </row>
    <row r="7" spans="1:11">
      <c r="C7" s="656" t="s">
        <v>1035</v>
      </c>
      <c r="D7" s="657" t="s">
        <v>1043</v>
      </c>
      <c r="E7" s="658">
        <f ca="1">SUMIF($D$12:$H$276,$D$7,$E$12:$E$276)-E262</f>
        <v>303086126</v>
      </c>
      <c r="F7" s="658">
        <f ca="1">SUMIF($D$12:F$276,$D$7,F$12:F$276)-F262</f>
        <v>33661203</v>
      </c>
      <c r="G7" s="658">
        <f t="shared" ref="G7:G68" ca="1" si="1">E7+F7</f>
        <v>336747329</v>
      </c>
      <c r="H7" s="658">
        <f ca="1">SUMIF($D$12:H$276,$D$7,H$12:H$276)-H262</f>
        <v>81833198</v>
      </c>
      <c r="I7" s="658">
        <f ca="1">SUMIF($D$12:I$276,$D$7,I$12:I$276)-I262</f>
        <v>4458287</v>
      </c>
      <c r="J7" s="658">
        <f ca="1">SUM(H7:I7)</f>
        <v>86291485</v>
      </c>
      <c r="K7" s="644">
        <f ca="1">F7-'[4]4 INVEST'!E12</f>
        <v>0</v>
      </c>
    </row>
    <row r="8" spans="1:11">
      <c r="C8" s="656"/>
      <c r="D8" s="657" t="s">
        <v>150</v>
      </c>
      <c r="E8" s="658">
        <f ca="1">SUMIF($D$12:$H$276,$D$8,$E$12:$E$276)</f>
        <v>275220</v>
      </c>
      <c r="F8" s="658">
        <f ca="1">SUMIF($D$12:F$276,$D$8,F$12:F$276)</f>
        <v>-269820</v>
      </c>
      <c r="G8" s="658">
        <f t="shared" ca="1" si="1"/>
        <v>5400</v>
      </c>
      <c r="H8" s="658">
        <f ca="1">SUMIF($D$12:H$276,$D$8,H$12:H$276)</f>
        <v>275220</v>
      </c>
      <c r="I8" s="658">
        <f ca="1">SUMIF($D$12:I$276,$D$8,I$12:I$276)</f>
        <v>-269820</v>
      </c>
      <c r="J8" s="658">
        <f ca="1">SUM(H8:I8)</f>
        <v>5400</v>
      </c>
      <c r="K8" s="644">
        <f ca="1">F8-'[4]4 INVEST'!E13</f>
        <v>0</v>
      </c>
    </row>
    <row r="9" spans="1:11">
      <c r="C9" s="656"/>
      <c r="D9" s="657" t="s">
        <v>1044</v>
      </c>
      <c r="E9" s="658">
        <f ca="1">SUMIF($D$12:$H$276,$D$9,$E$12:$E$276)</f>
        <v>3183458</v>
      </c>
      <c r="F9" s="658">
        <f ca="1">SUMIF($D$12:F$276,$D$9,F$12:F$276)</f>
        <v>777835</v>
      </c>
      <c r="G9" s="658">
        <f t="shared" ca="1" si="1"/>
        <v>3961293</v>
      </c>
      <c r="H9" s="658">
        <f ca="1">SUMIF($D$12:H$276,$D$9,H$12:H$276)</f>
        <v>1781533</v>
      </c>
      <c r="I9" s="658">
        <f ca="1">SUMIF($D$12:I$276,$D$9,I$12:I$276)</f>
        <v>777835</v>
      </c>
      <c r="J9" s="658">
        <f ca="1">SUM(H9:I9)</f>
        <v>2559368</v>
      </c>
      <c r="K9" s="644">
        <f ca="1">F9-'[4]4 INVEST'!E14</f>
        <v>0</v>
      </c>
    </row>
    <row r="10" spans="1:11">
      <c r="C10" s="656"/>
      <c r="D10" s="657" t="s">
        <v>1045</v>
      </c>
      <c r="E10" s="658">
        <f ca="1">SUMIF($D$12:$H$276,$D$10,$E$12:$E$276)-E249</f>
        <v>4739925</v>
      </c>
      <c r="F10" s="658">
        <f ca="1">SUMIF($D$12:F$276,$D$10,F$12:F$276)-F249</f>
        <v>517364</v>
      </c>
      <c r="G10" s="658">
        <f t="shared" ca="1" si="1"/>
        <v>5257289</v>
      </c>
      <c r="H10" s="658">
        <f ca="1">SUMIF($D$12:H$276,$D$10,H$12:H$276)-H249</f>
        <v>4090332</v>
      </c>
      <c r="I10" s="658">
        <f ca="1">SUMIF($D$12:I$276,$D$10,I$12:I$276)-I249</f>
        <v>517364</v>
      </c>
      <c r="J10" s="658">
        <f ca="1">SUM(H10:I10)</f>
        <v>4607696</v>
      </c>
      <c r="K10" s="644">
        <f ca="1">F10-'[4]4 INVEST'!E15</f>
        <v>0</v>
      </c>
    </row>
    <row r="11" spans="1:11">
      <c r="C11" s="659"/>
      <c r="D11" s="657" t="s">
        <v>1046</v>
      </c>
      <c r="E11" s="658">
        <f ca="1">SUMIF($D$12:$H$276,$D$11,$E$12:$E$276)</f>
        <v>72675948</v>
      </c>
      <c r="F11" s="658">
        <f ca="1">SUMIF($D$12:F$276,$D$11,F$12:F$276)</f>
        <v>531080</v>
      </c>
      <c r="G11" s="658">
        <f t="shared" ca="1" si="1"/>
        <v>73207028</v>
      </c>
      <c r="H11" s="658">
        <f ca="1">SUMIF($D$12:H$276,$D$11,H$12:H$276)</f>
        <v>26927785</v>
      </c>
      <c r="I11" s="658">
        <f ca="1">SUMIF($D$12:I$276,$D$11,I$12:I$276)</f>
        <v>460719</v>
      </c>
      <c r="J11" s="658">
        <f ca="1">SUM(H11:I11)</f>
        <v>27388504</v>
      </c>
      <c r="K11" s="644">
        <f ca="1">F11-'[4]4 INVEST'!E16</f>
        <v>0</v>
      </c>
    </row>
    <row r="12" spans="1:11">
      <c r="C12" s="660" t="s">
        <v>670</v>
      </c>
      <c r="D12" s="661" t="s">
        <v>1042</v>
      </c>
      <c r="E12" s="662">
        <f>E13+E28+E43</f>
        <v>90044554</v>
      </c>
      <c r="F12" s="662">
        <f>F13+F28+F43+F48</f>
        <v>1656360</v>
      </c>
      <c r="G12" s="662">
        <f t="shared" si="1"/>
        <v>91700914</v>
      </c>
      <c r="H12" s="662">
        <f>H13+H28+H43</f>
        <v>29115786</v>
      </c>
      <c r="I12" s="662">
        <f>I13+I28+I43+I48</f>
        <v>-500000</v>
      </c>
      <c r="J12" s="662">
        <f>SUM(H12:I12)</f>
        <v>28615786</v>
      </c>
    </row>
    <row r="13" spans="1:11">
      <c r="B13" s="641" t="s">
        <v>122</v>
      </c>
      <c r="C13" s="663" t="s">
        <v>1047</v>
      </c>
      <c r="D13" s="664" t="s">
        <v>1042</v>
      </c>
      <c r="E13" s="665">
        <f>E14+E17+E20+E23+E24+E25+E26+E27</f>
        <v>14279680</v>
      </c>
      <c r="F13" s="666">
        <f>F14+F17+F20+F21+F23</f>
        <v>1592610</v>
      </c>
      <c r="G13" s="666">
        <f t="shared" si="1"/>
        <v>15872290</v>
      </c>
      <c r="H13" s="665">
        <f>H14+H17+H20+H23+H24+H25+H26+H27</f>
        <v>9765786</v>
      </c>
      <c r="I13" s="665">
        <f t="shared" ref="I13" si="2">I14+I17+I20+I23+I24+I25+I26+I27</f>
        <v>0</v>
      </c>
      <c r="J13" s="665">
        <f>SUM(H13:I13)</f>
        <v>9765786</v>
      </c>
    </row>
    <row r="14" spans="1:11">
      <c r="C14" s="667" t="s">
        <v>444</v>
      </c>
      <c r="D14" s="668" t="s">
        <v>1042</v>
      </c>
      <c r="E14" s="669">
        <f t="shared" ref="E14:I14" si="3">E15+E16</f>
        <v>1320000</v>
      </c>
      <c r="F14" s="669">
        <f>F15</f>
        <v>630000</v>
      </c>
      <c r="G14" s="669">
        <f t="shared" si="1"/>
        <v>1950000</v>
      </c>
      <c r="H14" s="670">
        <f t="shared" si="3"/>
        <v>1109175</v>
      </c>
      <c r="I14" s="670">
        <f t="shared" si="3"/>
        <v>0</v>
      </c>
      <c r="J14" s="670">
        <f>SUM(H14:I14)</f>
        <v>1109175</v>
      </c>
    </row>
    <row r="15" spans="1:11">
      <c r="C15" s="671" t="s">
        <v>1048</v>
      </c>
      <c r="D15" s="672" t="s">
        <v>1043</v>
      </c>
      <c r="E15" s="673">
        <v>885197</v>
      </c>
      <c r="F15" s="673">
        <f>600000+350000-270000-50000</f>
        <v>630000</v>
      </c>
      <c r="G15" s="673">
        <f t="shared" si="1"/>
        <v>1515197</v>
      </c>
      <c r="H15" s="670">
        <v>685197</v>
      </c>
      <c r="I15" s="670"/>
      <c r="J15" s="670">
        <f>SUM(H15:I15)</f>
        <v>685197</v>
      </c>
    </row>
    <row r="16" spans="1:11">
      <c r="C16" s="674"/>
      <c r="D16" s="675" t="s">
        <v>1046</v>
      </c>
      <c r="E16" s="673">
        <v>434803</v>
      </c>
      <c r="F16" s="673">
        <v>0</v>
      </c>
      <c r="G16" s="673">
        <f t="shared" si="1"/>
        <v>434803</v>
      </c>
      <c r="H16" s="670">
        <v>423978</v>
      </c>
      <c r="I16" s="670"/>
      <c r="J16" s="670">
        <f>SUM(H16:I16)</f>
        <v>423978</v>
      </c>
    </row>
    <row r="17" spans="2:10">
      <c r="C17" s="667" t="s">
        <v>1049</v>
      </c>
      <c r="D17" s="668" t="s">
        <v>1042</v>
      </c>
      <c r="E17" s="673">
        <f t="shared" ref="E17:I17" si="4">E18+E19</f>
        <v>1000000</v>
      </c>
      <c r="F17" s="673">
        <f>F18</f>
        <v>950000</v>
      </c>
      <c r="G17" s="673">
        <f t="shared" si="1"/>
        <v>1950000</v>
      </c>
      <c r="H17" s="670">
        <f t="shared" si="4"/>
        <v>756611</v>
      </c>
      <c r="I17" s="670">
        <f t="shared" si="4"/>
        <v>0</v>
      </c>
      <c r="J17" s="670">
        <f>SUM(H17:I17)</f>
        <v>756611</v>
      </c>
    </row>
    <row r="18" spans="2:10">
      <c r="C18" s="671" t="s">
        <v>1048</v>
      </c>
      <c r="D18" s="672" t="s">
        <v>1043</v>
      </c>
      <c r="E18" s="673">
        <v>566112</v>
      </c>
      <c r="F18" s="673">
        <f>825000+125000</f>
        <v>950000</v>
      </c>
      <c r="G18" s="673">
        <f t="shared" si="1"/>
        <v>1516112</v>
      </c>
      <c r="H18" s="670">
        <v>366112</v>
      </c>
      <c r="I18" s="670"/>
      <c r="J18" s="670">
        <f>SUM(H18:I18)</f>
        <v>366112</v>
      </c>
    </row>
    <row r="19" spans="2:10">
      <c r="C19" s="674"/>
      <c r="D19" s="675" t="s">
        <v>1046</v>
      </c>
      <c r="E19" s="673">
        <v>433888</v>
      </c>
      <c r="F19" s="673">
        <v>0</v>
      </c>
      <c r="G19" s="673">
        <f t="shared" si="1"/>
        <v>433888</v>
      </c>
      <c r="H19" s="670">
        <v>390499</v>
      </c>
      <c r="I19" s="670"/>
      <c r="J19" s="670">
        <f>SUM(H19:I19)</f>
        <v>390499</v>
      </c>
    </row>
    <row r="20" spans="2:10">
      <c r="C20" s="667" t="s">
        <v>446</v>
      </c>
      <c r="D20" s="668" t="s">
        <v>1042</v>
      </c>
      <c r="E20" s="673">
        <f t="shared" ref="E20:H20" si="5">E21+E22</f>
        <v>2600000</v>
      </c>
      <c r="F20" s="673"/>
      <c r="G20" s="673">
        <f t="shared" si="1"/>
        <v>2600000</v>
      </c>
      <c r="H20" s="670">
        <f t="shared" si="5"/>
        <v>1000000</v>
      </c>
      <c r="I20" s="670"/>
      <c r="J20" s="670">
        <f>SUM(H20:I20)</f>
        <v>1000000</v>
      </c>
    </row>
    <row r="21" spans="2:10">
      <c r="C21" s="671" t="s">
        <v>1035</v>
      </c>
      <c r="D21" s="672" t="s">
        <v>1043</v>
      </c>
      <c r="E21" s="676">
        <v>390000</v>
      </c>
      <c r="F21" s="676"/>
      <c r="G21" s="676">
        <f t="shared" si="1"/>
        <v>390000</v>
      </c>
      <c r="H21" s="670">
        <v>150000</v>
      </c>
      <c r="I21" s="670"/>
      <c r="J21" s="670">
        <f>SUM(H21:I21)</f>
        <v>150000</v>
      </c>
    </row>
    <row r="22" spans="2:10">
      <c r="C22" s="677"/>
      <c r="D22" s="675" t="s">
        <v>1046</v>
      </c>
      <c r="E22" s="673">
        <v>2210000</v>
      </c>
      <c r="F22" s="673"/>
      <c r="G22" s="673">
        <f t="shared" si="1"/>
        <v>2210000</v>
      </c>
      <c r="H22" s="670">
        <v>850000</v>
      </c>
      <c r="I22" s="670"/>
      <c r="J22" s="670">
        <f>SUM(H22:I22)</f>
        <v>850000</v>
      </c>
    </row>
    <row r="23" spans="2:10">
      <c r="C23" s="667" t="s">
        <v>1050</v>
      </c>
      <c r="D23" s="678" t="s">
        <v>1043</v>
      </c>
      <c r="E23" s="670">
        <v>3559680</v>
      </c>
      <c r="F23" s="670">
        <v>12610</v>
      </c>
      <c r="G23" s="670">
        <f t="shared" si="1"/>
        <v>3572290</v>
      </c>
      <c r="H23" s="670">
        <v>2500000</v>
      </c>
      <c r="I23" s="670">
        <v>12610</v>
      </c>
      <c r="J23" s="670">
        <f>SUM(H23:I23)</f>
        <v>2512610</v>
      </c>
    </row>
    <row r="24" spans="2:10">
      <c r="C24" s="667" t="s">
        <v>1051</v>
      </c>
      <c r="D24" s="678" t="s">
        <v>1043</v>
      </c>
      <c r="E24" s="670">
        <v>1200000</v>
      </c>
      <c r="F24" s="670"/>
      <c r="G24" s="670">
        <f t="shared" si="1"/>
        <v>1200000</v>
      </c>
      <c r="H24" s="670">
        <v>1000000</v>
      </c>
      <c r="I24" s="670"/>
      <c r="J24" s="670">
        <f>SUM(H24:I24)</f>
        <v>1000000</v>
      </c>
    </row>
    <row r="25" spans="2:10" ht="22.5">
      <c r="C25" s="667" t="s">
        <v>1052</v>
      </c>
      <c r="D25" s="657" t="s">
        <v>1043</v>
      </c>
      <c r="E25" s="670">
        <v>1600000</v>
      </c>
      <c r="F25" s="670"/>
      <c r="G25" s="670">
        <f t="shared" si="1"/>
        <v>1600000</v>
      </c>
      <c r="H25" s="670">
        <v>400000</v>
      </c>
      <c r="I25" s="670"/>
      <c r="J25" s="670">
        <f>SUM(H25:I25)</f>
        <v>400000</v>
      </c>
    </row>
    <row r="26" spans="2:10">
      <c r="C26" s="679" t="s">
        <v>1053</v>
      </c>
      <c r="D26" s="678" t="s">
        <v>1043</v>
      </c>
      <c r="E26" s="680">
        <v>1000000</v>
      </c>
      <c r="F26" s="680"/>
      <c r="G26" s="670">
        <f t="shared" si="1"/>
        <v>1000000</v>
      </c>
      <c r="H26" s="670">
        <v>1000000</v>
      </c>
      <c r="I26" s="670"/>
      <c r="J26" s="670">
        <f>SUM(H26:I26)</f>
        <v>1000000</v>
      </c>
    </row>
    <row r="27" spans="2:10">
      <c r="C27" s="667" t="s">
        <v>1054</v>
      </c>
      <c r="D27" s="678" t="s">
        <v>1043</v>
      </c>
      <c r="E27" s="680">
        <v>2000000</v>
      </c>
      <c r="F27" s="680"/>
      <c r="G27" s="670">
        <f t="shared" si="1"/>
        <v>2000000</v>
      </c>
      <c r="H27" s="670">
        <v>2000000</v>
      </c>
      <c r="I27" s="670">
        <v>-12610</v>
      </c>
      <c r="J27" s="670">
        <f>SUM(H27:I27)</f>
        <v>1987390</v>
      </c>
    </row>
    <row r="28" spans="2:10">
      <c r="B28" s="641" t="s">
        <v>122</v>
      </c>
      <c r="C28" s="682" t="s">
        <v>1055</v>
      </c>
      <c r="D28" s="664" t="s">
        <v>1042</v>
      </c>
      <c r="E28" s="683">
        <f>E29+E30+E31+E32+E33+E34+E35+E37+E42+E36</f>
        <v>50514874</v>
      </c>
      <c r="F28" s="683">
        <f>F29+F30+F31+F32+F33+F34+F35+F37+F42+F36</f>
        <v>51000</v>
      </c>
      <c r="G28" s="683">
        <f t="shared" si="1"/>
        <v>50565874</v>
      </c>
      <c r="H28" s="683">
        <f>H29+H30+H31+H32+H33+H34+H35+H37+H42+H36</f>
        <v>18000000</v>
      </c>
      <c r="I28" s="683">
        <f>I29+I30+I31+I32+I33+I34+I35+I37+I42+I36</f>
        <v>-512750</v>
      </c>
      <c r="J28" s="683">
        <f>SUM(H28:I28)</f>
        <v>17487250</v>
      </c>
    </row>
    <row r="29" spans="2:10">
      <c r="C29" s="667" t="s">
        <v>1056</v>
      </c>
      <c r="D29" s="678" t="s">
        <v>1043</v>
      </c>
      <c r="E29" s="680">
        <v>9130714</v>
      </c>
      <c r="F29" s="680">
        <v>51000</v>
      </c>
      <c r="G29" s="670">
        <f t="shared" si="1"/>
        <v>9181714</v>
      </c>
      <c r="H29" s="670">
        <v>5500000</v>
      </c>
      <c r="I29" s="670">
        <v>51000</v>
      </c>
      <c r="J29" s="670">
        <f>SUM(H29:I29)</f>
        <v>5551000</v>
      </c>
    </row>
    <row r="30" spans="2:10">
      <c r="C30" s="667" t="s">
        <v>1057</v>
      </c>
      <c r="D30" s="678" t="s">
        <v>1043</v>
      </c>
      <c r="E30" s="680">
        <v>1400000</v>
      </c>
      <c r="F30" s="680"/>
      <c r="G30" s="680">
        <f t="shared" si="1"/>
        <v>1400000</v>
      </c>
      <c r="H30" s="670">
        <v>1200000</v>
      </c>
      <c r="I30" s="670"/>
      <c r="J30" s="670">
        <f>SUM(H30:I30)</f>
        <v>1200000</v>
      </c>
    </row>
    <row r="31" spans="2:10">
      <c r="C31" s="667" t="s">
        <v>1058</v>
      </c>
      <c r="D31" s="657" t="s">
        <v>1043</v>
      </c>
      <c r="E31" s="680">
        <v>3600000</v>
      </c>
      <c r="F31" s="680"/>
      <c r="G31" s="680">
        <f t="shared" si="1"/>
        <v>3600000</v>
      </c>
      <c r="H31" s="670">
        <v>3350000</v>
      </c>
      <c r="I31" s="670"/>
      <c r="J31" s="670">
        <f>SUM(H31:I31)</f>
        <v>3350000</v>
      </c>
    </row>
    <row r="32" spans="2:10">
      <c r="C32" s="667" t="s">
        <v>1059</v>
      </c>
      <c r="D32" s="678" t="s">
        <v>1043</v>
      </c>
      <c r="E32" s="680">
        <v>5500000</v>
      </c>
      <c r="F32" s="680"/>
      <c r="G32" s="680">
        <f t="shared" si="1"/>
        <v>5500000</v>
      </c>
      <c r="H32" s="670">
        <v>2500000</v>
      </c>
      <c r="I32" s="670"/>
      <c r="J32" s="670">
        <f>SUM(H32:I32)</f>
        <v>2500000</v>
      </c>
    </row>
    <row r="33" spans="2:12" ht="22.5">
      <c r="C33" s="667" t="s">
        <v>1060</v>
      </c>
      <c r="D33" s="678" t="s">
        <v>1043</v>
      </c>
      <c r="E33" s="680">
        <f>6000000+6000000</f>
        <v>12000000</v>
      </c>
      <c r="F33" s="680"/>
      <c r="G33" s="680">
        <f t="shared" si="1"/>
        <v>12000000</v>
      </c>
      <c r="H33" s="670">
        <v>1500000</v>
      </c>
      <c r="I33" s="670"/>
      <c r="J33" s="670">
        <f>SUM(H33:I33)</f>
        <v>1500000</v>
      </c>
      <c r="K33" s="644"/>
      <c r="L33" s="644"/>
    </row>
    <row r="34" spans="2:12">
      <c r="C34" s="667" t="s">
        <v>1061</v>
      </c>
      <c r="D34" s="678" t="s">
        <v>1043</v>
      </c>
      <c r="E34" s="680">
        <v>1344160</v>
      </c>
      <c r="F34" s="680"/>
      <c r="G34" s="680">
        <f t="shared" si="1"/>
        <v>1344160</v>
      </c>
      <c r="H34" s="670">
        <v>1300000</v>
      </c>
      <c r="I34" s="670"/>
      <c r="J34" s="670">
        <f>SUM(H34:I34)</f>
        <v>1300000</v>
      </c>
    </row>
    <row r="35" spans="2:12" ht="22.5" customHeight="1">
      <c r="C35" s="667" t="s">
        <v>1062</v>
      </c>
      <c r="D35" s="678" t="s">
        <v>1043</v>
      </c>
      <c r="E35" s="680">
        <v>8000000</v>
      </c>
      <c r="F35" s="680"/>
      <c r="G35" s="670">
        <f t="shared" si="1"/>
        <v>8000000</v>
      </c>
      <c r="H35" s="670">
        <v>300000</v>
      </c>
      <c r="I35" s="670">
        <v>-300000</v>
      </c>
      <c r="J35" s="670">
        <f>SUM(H35:I35)</f>
        <v>0</v>
      </c>
    </row>
    <row r="36" spans="2:12">
      <c r="C36" s="667" t="s">
        <v>1063</v>
      </c>
      <c r="D36" s="678" t="s">
        <v>1043</v>
      </c>
      <c r="E36" s="680">
        <v>200000</v>
      </c>
      <c r="F36" s="680"/>
      <c r="G36" s="680">
        <f t="shared" si="1"/>
        <v>200000</v>
      </c>
      <c r="H36" s="680">
        <v>200000</v>
      </c>
      <c r="I36" s="680"/>
      <c r="J36" s="680">
        <f>SUM(H36:I36)</f>
        <v>200000</v>
      </c>
    </row>
    <row r="37" spans="2:12">
      <c r="C37" s="667" t="s">
        <v>1064</v>
      </c>
      <c r="D37" s="678" t="s">
        <v>1043</v>
      </c>
      <c r="E37" s="680">
        <f>8000000-200000+40000</f>
        <v>7840000</v>
      </c>
      <c r="F37" s="680"/>
      <c r="G37" s="670">
        <f t="shared" si="1"/>
        <v>7840000</v>
      </c>
      <c r="H37" s="680">
        <f>610000+40000</f>
        <v>650000</v>
      </c>
      <c r="I37" s="680">
        <v>-200000</v>
      </c>
      <c r="J37" s="680">
        <f>SUM(H37:I37)</f>
        <v>450000</v>
      </c>
    </row>
    <row r="38" spans="2:12">
      <c r="C38" s="684" t="s">
        <v>1065</v>
      </c>
      <c r="D38" s="678"/>
      <c r="E38" s="680"/>
      <c r="F38" s="680"/>
      <c r="G38" s="680">
        <f t="shared" si="1"/>
        <v>0</v>
      </c>
      <c r="H38" s="670"/>
      <c r="I38" s="670"/>
      <c r="J38" s="670">
        <f>SUM(H38:I38)</f>
        <v>0</v>
      </c>
    </row>
    <row r="39" spans="2:12">
      <c r="C39" s="684" t="s">
        <v>1066</v>
      </c>
      <c r="D39" s="678"/>
      <c r="E39" s="680"/>
      <c r="F39" s="680"/>
      <c r="G39" s="680">
        <f t="shared" si="1"/>
        <v>0</v>
      </c>
      <c r="H39" s="670"/>
      <c r="I39" s="670"/>
      <c r="J39" s="670">
        <f>SUM(H39:I39)</f>
        <v>0</v>
      </c>
    </row>
    <row r="40" spans="2:12" ht="22.5" customHeight="1">
      <c r="C40" s="684" t="s">
        <v>1067</v>
      </c>
      <c r="D40" s="678"/>
      <c r="E40" s="680"/>
      <c r="F40" s="680"/>
      <c r="G40" s="680">
        <f t="shared" si="1"/>
        <v>0</v>
      </c>
      <c r="H40" s="670"/>
      <c r="I40" s="670"/>
      <c r="J40" s="670">
        <f>SUM(H40:I40)</f>
        <v>0</v>
      </c>
    </row>
    <row r="41" spans="2:12">
      <c r="C41" s="685" t="s">
        <v>1068</v>
      </c>
      <c r="D41" s="678"/>
      <c r="E41" s="680"/>
      <c r="F41" s="686"/>
      <c r="G41" s="686">
        <f t="shared" si="1"/>
        <v>0</v>
      </c>
      <c r="H41" s="687"/>
      <c r="I41" s="687"/>
      <c r="J41" s="687">
        <f>SUM(H41:I41)</f>
        <v>0</v>
      </c>
    </row>
    <row r="42" spans="2:12">
      <c r="C42" s="667" t="s">
        <v>1069</v>
      </c>
      <c r="D42" s="678" t="s">
        <v>1043</v>
      </c>
      <c r="E42" s="680">
        <v>1500000</v>
      </c>
      <c r="F42" s="686"/>
      <c r="G42" s="670">
        <f t="shared" si="1"/>
        <v>1500000</v>
      </c>
      <c r="H42" s="688">
        <v>1500000</v>
      </c>
      <c r="I42" s="688">
        <f>-12750-51000</f>
        <v>-63750</v>
      </c>
      <c r="J42" s="688">
        <f>SUM(H42:I42)</f>
        <v>1436250</v>
      </c>
    </row>
    <row r="43" spans="2:12">
      <c r="B43" s="641" t="s">
        <v>122</v>
      </c>
      <c r="C43" s="682" t="s">
        <v>1070</v>
      </c>
      <c r="D43" s="664" t="s">
        <v>1042</v>
      </c>
      <c r="E43" s="683">
        <f>SUM(E44:E47)</f>
        <v>25250000</v>
      </c>
      <c r="F43" s="683">
        <f t="shared" ref="F43" si="6">SUM(F44:F47)</f>
        <v>0</v>
      </c>
      <c r="G43" s="683">
        <f t="shared" si="1"/>
        <v>25250000</v>
      </c>
      <c r="H43" s="683">
        <f>SUM(H44:H47)</f>
        <v>1350000</v>
      </c>
      <c r="I43" s="683">
        <f t="shared" ref="I43" si="7">SUM(I44:I47)</f>
        <v>0</v>
      </c>
      <c r="J43" s="683">
        <f>SUM(H43:I43)</f>
        <v>1350000</v>
      </c>
    </row>
    <row r="44" spans="2:12">
      <c r="C44" s="667" t="s">
        <v>1071</v>
      </c>
      <c r="D44" s="678" t="s">
        <v>1043</v>
      </c>
      <c r="E44" s="680">
        <v>12000000</v>
      </c>
      <c r="F44" s="686"/>
      <c r="G44" s="686">
        <f t="shared" si="1"/>
        <v>12000000</v>
      </c>
      <c r="H44" s="688">
        <v>500000</v>
      </c>
      <c r="I44" s="688"/>
      <c r="J44" s="688">
        <f>SUM(H44:I44)</f>
        <v>500000</v>
      </c>
    </row>
    <row r="45" spans="2:12">
      <c r="C45" s="667" t="s">
        <v>1072</v>
      </c>
      <c r="D45" s="657" t="s">
        <v>1043</v>
      </c>
      <c r="E45" s="680">
        <v>4000000</v>
      </c>
      <c r="F45" s="686"/>
      <c r="G45" s="686">
        <f t="shared" si="1"/>
        <v>4000000</v>
      </c>
      <c r="H45" s="688">
        <v>300000</v>
      </c>
      <c r="I45" s="688"/>
      <c r="J45" s="688">
        <f>SUM(H45:I45)</f>
        <v>300000</v>
      </c>
    </row>
    <row r="46" spans="2:12">
      <c r="C46" s="667" t="s">
        <v>1073</v>
      </c>
      <c r="D46" s="678" t="s">
        <v>1043</v>
      </c>
      <c r="E46" s="680">
        <v>9000000</v>
      </c>
      <c r="F46" s="686"/>
      <c r="G46" s="686">
        <f t="shared" si="1"/>
        <v>9000000</v>
      </c>
      <c r="H46" s="688">
        <v>300000</v>
      </c>
      <c r="I46" s="688"/>
      <c r="J46" s="688">
        <f>SUM(H46:I46)</f>
        <v>300000</v>
      </c>
    </row>
    <row r="47" spans="2:12">
      <c r="C47" s="667" t="s">
        <v>1074</v>
      </c>
      <c r="D47" s="678" t="s">
        <v>1043</v>
      </c>
      <c r="E47" s="680">
        <v>250000</v>
      </c>
      <c r="F47" s="686"/>
      <c r="G47" s="686">
        <f t="shared" si="1"/>
        <v>250000</v>
      </c>
      <c r="H47" s="688">
        <v>250000</v>
      </c>
      <c r="I47" s="688"/>
      <c r="J47" s="688">
        <f>SUM(H47:I47)</f>
        <v>250000</v>
      </c>
    </row>
    <row r="48" spans="2:12">
      <c r="C48" s="682" t="s">
        <v>457</v>
      </c>
      <c r="D48" s="664" t="s">
        <v>1042</v>
      </c>
      <c r="E48" s="683"/>
      <c r="F48" s="683">
        <f>F49</f>
        <v>12750</v>
      </c>
      <c r="G48" s="683">
        <f t="shared" si="1"/>
        <v>12750</v>
      </c>
      <c r="H48" s="688"/>
      <c r="I48" s="683">
        <f>I49</f>
        <v>12750</v>
      </c>
      <c r="J48" s="683">
        <f>SUM(H48:I48)</f>
        <v>12750</v>
      </c>
    </row>
    <row r="49" spans="2:11">
      <c r="C49" s="667" t="s">
        <v>1075</v>
      </c>
      <c r="D49" s="678" t="s">
        <v>1043</v>
      </c>
      <c r="E49" s="680"/>
      <c r="F49" s="686">
        <v>12750</v>
      </c>
      <c r="G49" s="686">
        <f t="shared" si="1"/>
        <v>12750</v>
      </c>
      <c r="H49" s="688"/>
      <c r="I49" s="686">
        <v>12750</v>
      </c>
      <c r="J49" s="686">
        <f>SUM(H49:I49)</f>
        <v>12750</v>
      </c>
    </row>
    <row r="50" spans="2:11">
      <c r="C50" s="689" t="s">
        <v>671</v>
      </c>
      <c r="D50" s="690"/>
      <c r="E50" s="662">
        <f>E51+E54+E58+E61+E64+E67+E75+E76+E77+E78+E79+E87+E91+E92+E93+E94+E96+E97+E70</f>
        <v>39462560</v>
      </c>
      <c r="F50" s="662">
        <f>F51+F54+F58+F61+F64+F67+F75+F76+F77+F78+F79+F87+F91+F92+F93+F94+F96+F97+F70+F69+F95</f>
        <v>17411541</v>
      </c>
      <c r="G50" s="662">
        <f t="shared" si="1"/>
        <v>56874101</v>
      </c>
      <c r="H50" s="662">
        <f>H51+H54+H58+H61+H64+H67+H75+H76+H77+H78+H79+H87+H91+H92+H93+H94+H96+H97+H70</f>
        <v>8636234</v>
      </c>
      <c r="I50" s="662">
        <f>I51+I54+I58+I61+I64+I67+I75+I76+I77+I78+I79+I87+I91+I92+I93+I94+I96+I97+I70+I69+I95</f>
        <v>1001541</v>
      </c>
      <c r="J50" s="662">
        <f>SUM(H50:I50)</f>
        <v>9637775</v>
      </c>
    </row>
    <row r="51" spans="2:11">
      <c r="B51" s="641" t="s">
        <v>149</v>
      </c>
      <c r="C51" s="550" t="s">
        <v>1076</v>
      </c>
      <c r="D51" s="691" t="s">
        <v>1042</v>
      </c>
      <c r="E51" s="666">
        <f>E52+E53</f>
        <v>640217</v>
      </c>
      <c r="F51" s="666">
        <f t="shared" ref="F51" si="8">F52+F53</f>
        <v>13541</v>
      </c>
      <c r="G51" s="666">
        <f t="shared" si="1"/>
        <v>653758</v>
      </c>
      <c r="H51" s="666">
        <f>H52+H53</f>
        <v>640217</v>
      </c>
      <c r="I51" s="666">
        <f t="shared" ref="I51" si="9">I52+I53</f>
        <v>13541</v>
      </c>
      <c r="J51" s="666">
        <f>SUM(H51:I51)</f>
        <v>653758</v>
      </c>
    </row>
    <row r="52" spans="2:11">
      <c r="C52" s="692" t="s">
        <v>1035</v>
      </c>
      <c r="D52" s="691" t="s">
        <v>1043</v>
      </c>
      <c r="E52" s="666">
        <v>275600</v>
      </c>
      <c r="F52" s="666">
        <v>5000</v>
      </c>
      <c r="G52" s="666">
        <f t="shared" si="1"/>
        <v>280600</v>
      </c>
      <c r="H52" s="666">
        <v>275600</v>
      </c>
      <c r="I52" s="666">
        <v>5000</v>
      </c>
      <c r="J52" s="666">
        <f>SUM(H52:I52)</f>
        <v>280600</v>
      </c>
    </row>
    <row r="53" spans="2:11">
      <c r="C53" s="552"/>
      <c r="D53" s="691" t="s">
        <v>1045</v>
      </c>
      <c r="E53" s="666">
        <v>364617</v>
      </c>
      <c r="F53" s="666">
        <v>8541</v>
      </c>
      <c r="G53" s="666">
        <f t="shared" si="1"/>
        <v>373158</v>
      </c>
      <c r="H53" s="666">
        <v>364617</v>
      </c>
      <c r="I53" s="666">
        <v>8541</v>
      </c>
      <c r="J53" s="666">
        <f>SUM(H53:I53)</f>
        <v>373158</v>
      </c>
    </row>
    <row r="54" spans="2:11">
      <c r="B54" s="641" t="s">
        <v>149</v>
      </c>
      <c r="C54" s="550" t="s">
        <v>796</v>
      </c>
      <c r="D54" s="691" t="s">
        <v>1042</v>
      </c>
      <c r="E54" s="666">
        <f>E55+E57</f>
        <v>5116396</v>
      </c>
      <c r="F54" s="666"/>
      <c r="G54" s="666">
        <f t="shared" si="1"/>
        <v>5116396</v>
      </c>
      <c r="H54" s="666">
        <f>H55+H57</f>
        <v>125012</v>
      </c>
      <c r="I54" s="666">
        <f t="shared" ref="I54" si="10">I55+I57</f>
        <v>0</v>
      </c>
      <c r="J54" s="666">
        <f>SUM(H54:I54)</f>
        <v>125012</v>
      </c>
      <c r="K54" s="644"/>
    </row>
    <row r="55" spans="2:11">
      <c r="C55" s="692" t="s">
        <v>1035</v>
      </c>
      <c r="D55" s="691" t="s">
        <v>1043</v>
      </c>
      <c r="E55" s="693">
        <v>2621945</v>
      </c>
      <c r="F55" s="693"/>
      <c r="G55" s="693">
        <f t="shared" si="1"/>
        <v>2621945</v>
      </c>
      <c r="H55" s="666">
        <v>32112</v>
      </c>
      <c r="I55" s="666"/>
      <c r="J55" s="666">
        <f>SUM(H55:I55)</f>
        <v>32112</v>
      </c>
    </row>
    <row r="56" spans="2:11">
      <c r="C56" s="694" t="s">
        <v>121</v>
      </c>
      <c r="D56" s="678"/>
      <c r="E56" s="695">
        <v>84000</v>
      </c>
      <c r="F56" s="695"/>
      <c r="G56" s="695">
        <f t="shared" si="1"/>
        <v>84000</v>
      </c>
      <c r="H56" s="670">
        <v>24000</v>
      </c>
      <c r="I56" s="670"/>
      <c r="J56" s="670">
        <f>SUM(H56:I56)</f>
        <v>24000</v>
      </c>
    </row>
    <row r="57" spans="2:11">
      <c r="C57" s="552"/>
      <c r="D57" s="691" t="s">
        <v>1046</v>
      </c>
      <c r="E57" s="666">
        <v>2494451</v>
      </c>
      <c r="F57" s="666"/>
      <c r="G57" s="666">
        <f t="shared" si="1"/>
        <v>2494451</v>
      </c>
      <c r="H57" s="666">
        <v>92900</v>
      </c>
      <c r="I57" s="666"/>
      <c r="J57" s="666">
        <f>SUM(H57:I57)</f>
        <v>92900</v>
      </c>
    </row>
    <row r="58" spans="2:11" ht="25.5">
      <c r="B58" s="641" t="s">
        <v>149</v>
      </c>
      <c r="C58" s="550" t="s">
        <v>830</v>
      </c>
      <c r="D58" s="691" t="s">
        <v>1042</v>
      </c>
      <c r="E58" s="666">
        <f>E59+E60</f>
        <v>889082</v>
      </c>
      <c r="F58" s="666"/>
      <c r="G58" s="666">
        <f t="shared" si="1"/>
        <v>889082</v>
      </c>
      <c r="H58" s="666">
        <f>H59+H60</f>
        <v>451195</v>
      </c>
      <c r="I58" s="666">
        <f t="shared" ref="I58" si="11">I59+I60</f>
        <v>0</v>
      </c>
      <c r="J58" s="666">
        <f>SUM(H58:I58)</f>
        <v>451195</v>
      </c>
    </row>
    <row r="59" spans="2:11">
      <c r="C59" s="692" t="s">
        <v>1035</v>
      </c>
      <c r="D59" s="691" t="s">
        <v>1044</v>
      </c>
      <c r="E59" s="666">
        <f>88362+45000</f>
        <v>133362</v>
      </c>
      <c r="F59" s="666"/>
      <c r="G59" s="666">
        <f t="shared" si="1"/>
        <v>133362</v>
      </c>
      <c r="H59" s="666">
        <f>22679+45000</f>
        <v>67679</v>
      </c>
      <c r="I59" s="666"/>
      <c r="J59" s="666">
        <f>SUM(H59:I59)</f>
        <v>67679</v>
      </c>
    </row>
    <row r="60" spans="2:11">
      <c r="C60" s="552"/>
      <c r="D60" s="691" t="s">
        <v>1046</v>
      </c>
      <c r="E60" s="666">
        <f>500720+255000</f>
        <v>755720</v>
      </c>
      <c r="F60" s="666"/>
      <c r="G60" s="666">
        <f t="shared" si="1"/>
        <v>755720</v>
      </c>
      <c r="H60" s="666">
        <f>128516+255000</f>
        <v>383516</v>
      </c>
      <c r="I60" s="666"/>
      <c r="J60" s="666">
        <f>SUM(H60:I60)</f>
        <v>383516</v>
      </c>
    </row>
    <row r="61" spans="2:11">
      <c r="B61" s="641" t="s">
        <v>149</v>
      </c>
      <c r="C61" s="552" t="s">
        <v>1077</v>
      </c>
      <c r="D61" s="691" t="s">
        <v>1043</v>
      </c>
      <c r="E61" s="666">
        <f>150000+994250</f>
        <v>1144250</v>
      </c>
      <c r="F61" s="666"/>
      <c r="G61" s="666">
        <f t="shared" si="1"/>
        <v>1144250</v>
      </c>
      <c r="H61" s="666">
        <f>50000+150000</f>
        <v>200000</v>
      </c>
      <c r="I61" s="666"/>
      <c r="J61" s="666">
        <f>SUM(H61:I61)</f>
        <v>200000</v>
      </c>
    </row>
    <row r="62" spans="2:11">
      <c r="C62" s="696" t="s">
        <v>1078</v>
      </c>
      <c r="D62" s="678"/>
      <c r="E62" s="670"/>
      <c r="F62" s="670"/>
      <c r="G62" s="670">
        <f t="shared" si="1"/>
        <v>0</v>
      </c>
      <c r="H62" s="670"/>
      <c r="I62" s="670"/>
      <c r="J62" s="670">
        <f>SUM(H62:I62)</f>
        <v>0</v>
      </c>
    </row>
    <row r="63" spans="2:11">
      <c r="C63" s="667" t="s">
        <v>1079</v>
      </c>
      <c r="D63" s="678"/>
      <c r="E63" s="670"/>
      <c r="F63" s="670"/>
      <c r="G63" s="670">
        <f t="shared" si="1"/>
        <v>0</v>
      </c>
      <c r="H63" s="670"/>
      <c r="I63" s="670"/>
      <c r="J63" s="670">
        <f>SUM(H63:I63)</f>
        <v>0</v>
      </c>
    </row>
    <row r="64" spans="2:11">
      <c r="B64" s="641" t="s">
        <v>149</v>
      </c>
      <c r="C64" s="506" t="s">
        <v>1080</v>
      </c>
      <c r="D64" s="691" t="s">
        <v>1043</v>
      </c>
      <c r="E64" s="666">
        <v>676115</v>
      </c>
      <c r="F64" s="666">
        <f>5000+25000</f>
        <v>30000</v>
      </c>
      <c r="G64" s="666">
        <f t="shared" si="1"/>
        <v>706115</v>
      </c>
      <c r="H64" s="666">
        <v>152310</v>
      </c>
      <c r="I64" s="666">
        <v>30000</v>
      </c>
      <c r="J64" s="666">
        <f>SUM(H64:I64)</f>
        <v>182310</v>
      </c>
    </row>
    <row r="65" spans="2:10">
      <c r="C65" s="696" t="s">
        <v>1081</v>
      </c>
      <c r="D65" s="678"/>
      <c r="E65" s="670"/>
      <c r="F65" s="670"/>
      <c r="G65" s="670">
        <f t="shared" si="1"/>
        <v>0</v>
      </c>
      <c r="H65" s="670"/>
      <c r="I65" s="670"/>
      <c r="J65" s="670">
        <f>SUM(H65:I65)</f>
        <v>0</v>
      </c>
    </row>
    <row r="66" spans="2:10">
      <c r="C66" s="667" t="s">
        <v>1082</v>
      </c>
      <c r="D66" s="678"/>
      <c r="E66" s="670"/>
      <c r="F66" s="670"/>
      <c r="G66" s="670">
        <f t="shared" si="1"/>
        <v>0</v>
      </c>
      <c r="H66" s="670"/>
      <c r="I66" s="670"/>
      <c r="J66" s="670">
        <f>SUM(H66:I66)</f>
        <v>0</v>
      </c>
    </row>
    <row r="67" spans="2:10">
      <c r="B67" s="641" t="s">
        <v>149</v>
      </c>
      <c r="C67" s="552" t="s">
        <v>1083</v>
      </c>
      <c r="D67" s="691" t="s">
        <v>1043</v>
      </c>
      <c r="E67" s="666">
        <v>200000</v>
      </c>
      <c r="F67" s="666"/>
      <c r="G67" s="666">
        <f t="shared" si="1"/>
        <v>200000</v>
      </c>
      <c r="H67" s="666">
        <v>200000</v>
      </c>
      <c r="I67" s="666"/>
      <c r="J67" s="666">
        <f>SUM(H67:I67)</f>
        <v>200000</v>
      </c>
    </row>
    <row r="68" spans="2:10">
      <c r="B68" s="641" t="s">
        <v>149</v>
      </c>
      <c r="C68" s="697" t="s">
        <v>1084</v>
      </c>
      <c r="D68" s="691" t="s">
        <v>1045</v>
      </c>
      <c r="E68" s="666"/>
      <c r="F68" s="666"/>
      <c r="G68" s="666">
        <f t="shared" si="1"/>
        <v>0</v>
      </c>
      <c r="H68" s="666"/>
      <c r="I68" s="666"/>
      <c r="J68" s="666">
        <f>SUM(H68:I68)</f>
        <v>0</v>
      </c>
    </row>
    <row r="69" spans="2:10">
      <c r="B69" s="641" t="s">
        <v>149</v>
      </c>
      <c r="C69" s="697" t="s">
        <v>1085</v>
      </c>
      <c r="D69" s="691" t="s">
        <v>1043</v>
      </c>
      <c r="E69" s="666"/>
      <c r="F69" s="666">
        <v>133000</v>
      </c>
      <c r="G69" s="666">
        <f t="shared" ref="G69:G114" si="12">E69+F69</f>
        <v>133000</v>
      </c>
      <c r="H69" s="666"/>
      <c r="I69" s="666">
        <v>133000</v>
      </c>
      <c r="J69" s="666">
        <f>SUM(H69:I69)</f>
        <v>133000</v>
      </c>
    </row>
    <row r="70" spans="2:10">
      <c r="B70" s="641" t="s">
        <v>149</v>
      </c>
      <c r="C70" s="550" t="s">
        <v>1086</v>
      </c>
      <c r="D70" s="691" t="s">
        <v>1042</v>
      </c>
      <c r="E70" s="666">
        <f>E71+E73</f>
        <v>13500000</v>
      </c>
      <c r="F70" s="666">
        <v>14200000</v>
      </c>
      <c r="G70" s="666">
        <f t="shared" si="12"/>
        <v>27700000</v>
      </c>
      <c r="H70" s="666">
        <f t="shared" ref="H70:I70" si="13">H71+H73</f>
        <v>700000</v>
      </c>
      <c r="I70" s="666">
        <f t="shared" si="13"/>
        <v>0</v>
      </c>
      <c r="J70" s="666">
        <f>SUM(H70:I70)</f>
        <v>700000</v>
      </c>
    </row>
    <row r="71" spans="2:10">
      <c r="C71" s="692" t="s">
        <v>1035</v>
      </c>
      <c r="D71" s="698" t="s">
        <v>1043</v>
      </c>
      <c r="E71" s="666">
        <f>9400000+4000000+100000</f>
        <v>13500000</v>
      </c>
      <c r="F71" s="666">
        <v>14200000</v>
      </c>
      <c r="G71" s="666">
        <f t="shared" si="12"/>
        <v>27700000</v>
      </c>
      <c r="H71" s="666">
        <v>700000</v>
      </c>
      <c r="I71" s="666"/>
      <c r="J71" s="666">
        <f>SUM(H71:I71)</f>
        <v>700000</v>
      </c>
    </row>
    <row r="72" spans="2:10">
      <c r="C72" s="694" t="s">
        <v>121</v>
      </c>
      <c r="D72" s="698"/>
      <c r="E72" s="670"/>
      <c r="F72" s="670"/>
      <c r="G72" s="670">
        <f t="shared" si="12"/>
        <v>0</v>
      </c>
      <c r="H72" s="670">
        <v>15000</v>
      </c>
      <c r="I72" s="670"/>
      <c r="J72" s="670">
        <f>SUM(H72:I72)</f>
        <v>15000</v>
      </c>
    </row>
    <row r="73" spans="2:10">
      <c r="C73" s="552"/>
      <c r="D73" s="698" t="s">
        <v>1045</v>
      </c>
      <c r="E73" s="670"/>
      <c r="F73" s="670"/>
      <c r="G73" s="670">
        <f t="shared" si="12"/>
        <v>0</v>
      </c>
      <c r="H73" s="670"/>
      <c r="I73" s="670"/>
      <c r="J73" s="666">
        <f>SUM(H73:I73)</f>
        <v>0</v>
      </c>
    </row>
    <row r="74" spans="2:10">
      <c r="B74" s="641" t="s">
        <v>149</v>
      </c>
      <c r="C74" s="506" t="s">
        <v>1087</v>
      </c>
      <c r="D74" s="691" t="s">
        <v>1043</v>
      </c>
      <c r="E74" s="670"/>
      <c r="F74" s="670"/>
      <c r="G74" s="670">
        <f t="shared" si="12"/>
        <v>0</v>
      </c>
      <c r="H74" s="670"/>
      <c r="I74" s="670"/>
      <c r="J74" s="670">
        <f>SUM(H74:I74)</f>
        <v>0</v>
      </c>
    </row>
    <row r="75" spans="2:10">
      <c r="B75" s="641" t="s">
        <v>149</v>
      </c>
      <c r="C75" s="506" t="s">
        <v>1088</v>
      </c>
      <c r="D75" s="691" t="s">
        <v>1043</v>
      </c>
      <c r="E75" s="666">
        <v>4800000</v>
      </c>
      <c r="F75" s="666"/>
      <c r="G75" s="666">
        <f t="shared" si="12"/>
        <v>4800000</v>
      </c>
      <c r="H75" s="666">
        <v>250000</v>
      </c>
      <c r="I75" s="666"/>
      <c r="J75" s="666">
        <f>SUM(H75:I75)</f>
        <v>250000</v>
      </c>
    </row>
    <row r="76" spans="2:10">
      <c r="B76" s="641" t="s">
        <v>149</v>
      </c>
      <c r="C76" s="550" t="s">
        <v>1089</v>
      </c>
      <c r="D76" s="691" t="s">
        <v>1043</v>
      </c>
      <c r="E76" s="666">
        <v>25000</v>
      </c>
      <c r="F76" s="666"/>
      <c r="G76" s="666">
        <f t="shared" si="12"/>
        <v>25000</v>
      </c>
      <c r="H76" s="666">
        <f>12500+12500</f>
        <v>25000</v>
      </c>
      <c r="I76" s="666"/>
      <c r="J76" s="666">
        <f>SUM(H76:I76)</f>
        <v>25000</v>
      </c>
    </row>
    <row r="77" spans="2:10">
      <c r="B77" s="641" t="s">
        <v>881</v>
      </c>
      <c r="C77" s="506" t="s">
        <v>1090</v>
      </c>
      <c r="D77" s="691" t="s">
        <v>1043</v>
      </c>
      <c r="E77" s="666">
        <v>350000</v>
      </c>
      <c r="F77" s="666"/>
      <c r="G77" s="666">
        <f t="shared" si="12"/>
        <v>350000</v>
      </c>
      <c r="H77" s="666">
        <v>350000</v>
      </c>
      <c r="I77" s="666"/>
      <c r="J77" s="666">
        <f>SUM(H77:I77)</f>
        <v>350000</v>
      </c>
    </row>
    <row r="78" spans="2:10">
      <c r="B78" s="641" t="s">
        <v>881</v>
      </c>
      <c r="C78" s="506" t="s">
        <v>1091</v>
      </c>
      <c r="D78" s="691" t="s">
        <v>1043</v>
      </c>
      <c r="E78" s="666">
        <v>250000</v>
      </c>
      <c r="F78" s="666"/>
      <c r="G78" s="666">
        <f t="shared" si="12"/>
        <v>250000</v>
      </c>
      <c r="H78" s="666">
        <v>250000</v>
      </c>
      <c r="I78" s="666"/>
      <c r="J78" s="666">
        <f>SUM(H78:I78)</f>
        <v>250000</v>
      </c>
    </row>
    <row r="79" spans="2:10">
      <c r="B79" s="641" t="s">
        <v>352</v>
      </c>
      <c r="C79" s="506" t="s">
        <v>1092</v>
      </c>
      <c r="D79" s="691" t="s">
        <v>1043</v>
      </c>
      <c r="E79" s="666">
        <v>475000</v>
      </c>
      <c r="F79" s="666">
        <v>375000</v>
      </c>
      <c r="G79" s="666">
        <f t="shared" si="12"/>
        <v>850000</v>
      </c>
      <c r="H79" s="666">
        <v>100000</v>
      </c>
      <c r="I79" s="666">
        <v>125000</v>
      </c>
      <c r="J79" s="666">
        <f>SUM(H79:I79)</f>
        <v>225000</v>
      </c>
    </row>
    <row r="80" spans="2:10">
      <c r="C80" s="696" t="s">
        <v>1093</v>
      </c>
      <c r="D80" s="678"/>
      <c r="E80" s="670"/>
      <c r="F80" s="670"/>
      <c r="G80" s="670">
        <f t="shared" si="12"/>
        <v>0</v>
      </c>
      <c r="H80" s="670"/>
      <c r="I80" s="670"/>
      <c r="J80" s="670">
        <f>SUM(H80:I80)</f>
        <v>0</v>
      </c>
    </row>
    <row r="81" spans="2:10">
      <c r="C81" s="667" t="s">
        <v>1094</v>
      </c>
      <c r="D81" s="678"/>
      <c r="E81" s="670"/>
      <c r="F81" s="670"/>
      <c r="G81" s="670">
        <f t="shared" si="12"/>
        <v>0</v>
      </c>
      <c r="H81" s="670"/>
      <c r="I81" s="670"/>
      <c r="J81" s="670">
        <f>SUM(H81:I81)</f>
        <v>0</v>
      </c>
    </row>
    <row r="82" spans="2:10">
      <c r="C82" s="667" t="s">
        <v>1095</v>
      </c>
      <c r="D82" s="678"/>
      <c r="E82" s="670"/>
      <c r="F82" s="670"/>
      <c r="G82" s="670">
        <f t="shared" si="12"/>
        <v>0</v>
      </c>
      <c r="H82" s="670"/>
      <c r="I82" s="670"/>
      <c r="J82" s="670">
        <f>SUM(H82:I82)</f>
        <v>0</v>
      </c>
    </row>
    <row r="83" spans="2:10">
      <c r="C83" s="667" t="s">
        <v>1096</v>
      </c>
      <c r="D83" s="678"/>
      <c r="E83" s="670"/>
      <c r="F83" s="670"/>
      <c r="G83" s="670">
        <f t="shared" si="12"/>
        <v>0</v>
      </c>
      <c r="H83" s="670"/>
      <c r="I83" s="670"/>
      <c r="J83" s="670">
        <f>SUM(H83:I83)</f>
        <v>0</v>
      </c>
    </row>
    <row r="84" spans="2:10">
      <c r="C84" s="699" t="s">
        <v>1097</v>
      </c>
      <c r="D84" s="678"/>
      <c r="E84" s="670"/>
      <c r="F84" s="670"/>
      <c r="G84" s="670">
        <f t="shared" si="12"/>
        <v>0</v>
      </c>
      <c r="H84" s="670"/>
      <c r="I84" s="670"/>
      <c r="J84" s="670">
        <f>SUM(H84:I84)</f>
        <v>0</v>
      </c>
    </row>
    <row r="85" spans="2:10">
      <c r="C85" s="699" t="s">
        <v>1098</v>
      </c>
      <c r="D85" s="678"/>
      <c r="E85" s="670"/>
      <c r="F85" s="670"/>
      <c r="G85" s="670">
        <f t="shared" si="12"/>
        <v>0</v>
      </c>
      <c r="H85" s="670"/>
      <c r="I85" s="700" t="s">
        <v>1025</v>
      </c>
      <c r="J85" s="670"/>
    </row>
    <row r="86" spans="2:10">
      <c r="C86" s="699" t="s">
        <v>1099</v>
      </c>
      <c r="D86" s="678"/>
      <c r="E86" s="670"/>
      <c r="F86" s="670"/>
      <c r="G86" s="670">
        <f t="shared" si="12"/>
        <v>0</v>
      </c>
      <c r="H86" s="670"/>
      <c r="I86" s="700" t="s">
        <v>1025</v>
      </c>
      <c r="J86" s="670"/>
    </row>
    <row r="87" spans="2:10">
      <c r="B87" s="641" t="s">
        <v>882</v>
      </c>
      <c r="C87" s="550" t="s">
        <v>1100</v>
      </c>
      <c r="D87" s="691" t="s">
        <v>1043</v>
      </c>
      <c r="E87" s="666">
        <v>640000</v>
      </c>
      <c r="F87" s="666"/>
      <c r="G87" s="666">
        <f t="shared" si="12"/>
        <v>640000</v>
      </c>
      <c r="H87" s="666">
        <v>160000</v>
      </c>
      <c r="I87" s="666"/>
      <c r="J87" s="666">
        <f>SUM(H87:I87)</f>
        <v>160000</v>
      </c>
    </row>
    <row r="88" spans="2:10">
      <c r="C88" s="696" t="s">
        <v>1101</v>
      </c>
      <c r="D88" s="678"/>
      <c r="E88" s="670"/>
      <c r="F88" s="670"/>
      <c r="G88" s="670">
        <f t="shared" si="12"/>
        <v>0</v>
      </c>
      <c r="H88" s="670"/>
      <c r="I88" s="670"/>
      <c r="J88" s="670">
        <f>SUM(H88:I88)</f>
        <v>0</v>
      </c>
    </row>
    <row r="89" spans="2:10">
      <c r="C89" s="667" t="s">
        <v>1102</v>
      </c>
      <c r="D89" s="678"/>
      <c r="E89" s="670"/>
      <c r="F89" s="670"/>
      <c r="G89" s="670">
        <f t="shared" si="12"/>
        <v>0</v>
      </c>
      <c r="H89" s="670"/>
      <c r="I89" s="670"/>
      <c r="J89" s="670">
        <f>SUM(H89:I89)</f>
        <v>0</v>
      </c>
    </row>
    <row r="90" spans="2:10">
      <c r="C90" s="667" t="s">
        <v>1103</v>
      </c>
      <c r="D90" s="678"/>
      <c r="E90" s="670"/>
      <c r="F90" s="670"/>
      <c r="G90" s="670">
        <f t="shared" si="12"/>
        <v>0</v>
      </c>
      <c r="H90" s="670"/>
      <c r="I90" s="670"/>
      <c r="J90" s="670">
        <f>SUM(H90:I90)</f>
        <v>0</v>
      </c>
    </row>
    <row r="91" spans="2:10" ht="25.5">
      <c r="B91" s="641" t="s">
        <v>370</v>
      </c>
      <c r="C91" s="506" t="s">
        <v>1104</v>
      </c>
      <c r="D91" s="691" t="s">
        <v>1043</v>
      </c>
      <c r="E91" s="666">
        <v>8279000</v>
      </c>
      <c r="F91" s="666">
        <v>-700000</v>
      </c>
      <c r="G91" s="666">
        <f t="shared" si="12"/>
        <v>7579000</v>
      </c>
      <c r="H91" s="666">
        <v>4000000</v>
      </c>
      <c r="I91" s="666"/>
      <c r="J91" s="666">
        <f>SUM(H91:I91)</f>
        <v>4000000</v>
      </c>
    </row>
    <row r="92" spans="2:10">
      <c r="B92" s="641" t="s">
        <v>371</v>
      </c>
      <c r="C92" s="701" t="s">
        <v>1105</v>
      </c>
      <c r="D92" s="691" t="s">
        <v>1043</v>
      </c>
      <c r="E92" s="666">
        <v>75000</v>
      </c>
      <c r="F92" s="666"/>
      <c r="G92" s="666">
        <f t="shared" si="12"/>
        <v>75000</v>
      </c>
      <c r="H92" s="666">
        <v>37500</v>
      </c>
      <c r="I92" s="666"/>
      <c r="J92" s="666">
        <f>SUM(H92:I92)</f>
        <v>37500</v>
      </c>
    </row>
    <row r="93" spans="2:10">
      <c r="B93" s="641" t="s">
        <v>371</v>
      </c>
      <c r="C93" s="702" t="s">
        <v>1106</v>
      </c>
      <c r="D93" s="691" t="s">
        <v>1043</v>
      </c>
      <c r="E93" s="666">
        <v>99500</v>
      </c>
      <c r="F93" s="666"/>
      <c r="G93" s="666">
        <f t="shared" si="12"/>
        <v>99500</v>
      </c>
      <c r="H93" s="666">
        <v>99500</v>
      </c>
      <c r="I93" s="666"/>
      <c r="J93" s="666">
        <f>SUM(H93:I93)</f>
        <v>99500</v>
      </c>
    </row>
    <row r="94" spans="2:10">
      <c r="B94" s="3" t="s">
        <v>373</v>
      </c>
      <c r="C94" s="701" t="s">
        <v>1107</v>
      </c>
      <c r="D94" s="691" t="s">
        <v>1043</v>
      </c>
      <c r="E94" s="666">
        <v>183000</v>
      </c>
      <c r="F94" s="666"/>
      <c r="G94" s="666">
        <f t="shared" si="12"/>
        <v>183000</v>
      </c>
      <c r="H94" s="666">
        <v>158000</v>
      </c>
      <c r="I94" s="666"/>
      <c r="J94" s="666">
        <f>SUM(H94:I94)</f>
        <v>158000</v>
      </c>
    </row>
    <row r="95" spans="2:10">
      <c r="B95" s="3" t="s">
        <v>879</v>
      </c>
      <c r="C95" s="701" t="s">
        <v>1108</v>
      </c>
      <c r="D95" s="703" t="s">
        <v>1043</v>
      </c>
      <c r="E95" s="704"/>
      <c r="F95" s="666">
        <f>3160000+200000</f>
        <v>3360000</v>
      </c>
      <c r="G95" s="666">
        <f t="shared" si="12"/>
        <v>3360000</v>
      </c>
      <c r="H95" s="704"/>
      <c r="I95" s="704">
        <v>700000</v>
      </c>
      <c r="J95" s="666">
        <f>SUM(H95:I95)</f>
        <v>700000</v>
      </c>
    </row>
    <row r="96" spans="2:10">
      <c r="B96" s="641" t="s">
        <v>149</v>
      </c>
      <c r="C96" s="705" t="s">
        <v>1109</v>
      </c>
      <c r="D96" s="703" t="s">
        <v>1043</v>
      </c>
      <c r="E96" s="704">
        <v>250000</v>
      </c>
      <c r="F96" s="704"/>
      <c r="G96" s="704">
        <f t="shared" si="12"/>
        <v>250000</v>
      </c>
      <c r="H96" s="704">
        <f>250000-12500</f>
        <v>237500</v>
      </c>
      <c r="I96" s="704"/>
      <c r="J96" s="704">
        <f>SUM(H96:I96)</f>
        <v>237500</v>
      </c>
    </row>
    <row r="97" spans="1:10">
      <c r="A97" s="644" t="e">
        <f>H97+I97+#REF!</f>
        <v>#REF!</v>
      </c>
      <c r="B97" s="644" t="s">
        <v>149</v>
      </c>
      <c r="C97" s="705" t="s">
        <v>1110</v>
      </c>
      <c r="D97" s="703" t="s">
        <v>1043</v>
      </c>
      <c r="E97" s="704">
        <v>1870000</v>
      </c>
      <c r="F97" s="704"/>
      <c r="G97" s="704">
        <f t="shared" si="12"/>
        <v>1870000</v>
      </c>
      <c r="H97" s="704">
        <v>500000</v>
      </c>
      <c r="I97" s="704"/>
      <c r="J97" s="704">
        <f>SUM(H97:I97)</f>
        <v>500000</v>
      </c>
    </row>
    <row r="98" spans="1:10">
      <c r="C98" s="689" t="s">
        <v>824</v>
      </c>
      <c r="D98" s="690"/>
      <c r="E98" s="662">
        <f>E99+E100+E101+E102+E103</f>
        <v>11041000</v>
      </c>
      <c r="F98" s="662">
        <f>F99+F100+F101+F102+F103</f>
        <v>-3395779</v>
      </c>
      <c r="G98" s="662">
        <f t="shared" si="12"/>
        <v>7645221</v>
      </c>
      <c r="H98" s="662">
        <f>H99+H100+H101+H102+H103</f>
        <v>3091000</v>
      </c>
      <c r="I98" s="662">
        <f>I100+I101+I102+I103</f>
        <v>-760990</v>
      </c>
      <c r="J98" s="662">
        <f>SUM(H98:I98)</f>
        <v>2330010</v>
      </c>
    </row>
    <row r="99" spans="1:10" s="706" customFormat="1">
      <c r="B99" s="706" t="s">
        <v>246</v>
      </c>
      <c r="C99" s="707" t="s">
        <v>1111</v>
      </c>
      <c r="D99" s="708" t="s">
        <v>1043</v>
      </c>
      <c r="E99" s="709">
        <f>1675000+400000</f>
        <v>2075000</v>
      </c>
      <c r="F99" s="709"/>
      <c r="G99" s="709">
        <f t="shared" si="12"/>
        <v>2075000</v>
      </c>
      <c r="H99" s="710">
        <v>400000</v>
      </c>
      <c r="I99" s="710"/>
      <c r="J99" s="710">
        <f>SUM(H99:I99)</f>
        <v>400000</v>
      </c>
    </row>
    <row r="100" spans="1:10" ht="12.75" customHeight="1">
      <c r="B100" s="641" t="s">
        <v>246</v>
      </c>
      <c r="C100" s="711" t="s">
        <v>1112</v>
      </c>
      <c r="D100" s="712" t="s">
        <v>1043</v>
      </c>
      <c r="E100" s="713">
        <v>1275000</v>
      </c>
      <c r="F100" s="713">
        <v>620000</v>
      </c>
      <c r="G100" s="713">
        <f t="shared" si="12"/>
        <v>1895000</v>
      </c>
      <c r="H100" s="714">
        <v>250000</v>
      </c>
      <c r="I100" s="714">
        <v>620000</v>
      </c>
      <c r="J100" s="714">
        <f>SUM(H100:I100)</f>
        <v>870000</v>
      </c>
    </row>
    <row r="101" spans="1:10">
      <c r="B101" s="641" t="s">
        <v>246</v>
      </c>
      <c r="C101" s="715" t="s">
        <v>1113</v>
      </c>
      <c r="D101" s="691" t="s">
        <v>1043</v>
      </c>
      <c r="E101" s="713">
        <f>456000+10000</f>
        <v>466000</v>
      </c>
      <c r="F101" s="709">
        <v>6684</v>
      </c>
      <c r="G101" s="709">
        <f t="shared" si="12"/>
        <v>472684</v>
      </c>
      <c r="H101" s="710">
        <f>206000+10000</f>
        <v>216000</v>
      </c>
      <c r="I101" s="710">
        <v>6684</v>
      </c>
      <c r="J101" s="714">
        <f>SUM(H101:I101)</f>
        <v>222684</v>
      </c>
    </row>
    <row r="102" spans="1:10">
      <c r="B102" s="641" t="s">
        <v>246</v>
      </c>
      <c r="C102" s="715" t="s">
        <v>1114</v>
      </c>
      <c r="D102" s="712" t="s">
        <v>1043</v>
      </c>
      <c r="E102" s="713">
        <v>225000</v>
      </c>
      <c r="F102" s="709">
        <v>27260</v>
      </c>
      <c r="G102" s="709">
        <f t="shared" si="12"/>
        <v>252260</v>
      </c>
      <c r="H102" s="710">
        <v>225000</v>
      </c>
      <c r="I102" s="710">
        <v>27260</v>
      </c>
      <c r="J102" s="714">
        <f>SUM(H102:I102)</f>
        <v>252260</v>
      </c>
    </row>
    <row r="103" spans="1:10" s="706" customFormat="1">
      <c r="A103" s="716">
        <f>H103+I103</f>
        <v>585066</v>
      </c>
      <c r="B103" s="716" t="s">
        <v>246</v>
      </c>
      <c r="C103" s="711" t="s">
        <v>1115</v>
      </c>
      <c r="D103" s="691" t="s">
        <v>1043</v>
      </c>
      <c r="E103" s="713">
        <v>7000000</v>
      </c>
      <c r="F103" s="713">
        <v>-4049723</v>
      </c>
      <c r="G103" s="713">
        <f t="shared" si="12"/>
        <v>2950277</v>
      </c>
      <c r="H103" s="714">
        <v>2000000</v>
      </c>
      <c r="I103" s="714">
        <v>-1414934</v>
      </c>
      <c r="J103" s="714">
        <f>SUM(H103:I103)</f>
        <v>585066</v>
      </c>
    </row>
    <row r="104" spans="1:10">
      <c r="C104" s="689" t="s">
        <v>773</v>
      </c>
      <c r="D104" s="690" t="s">
        <v>1042</v>
      </c>
      <c r="E104" s="662">
        <f>E108+E111+E112+E115+E105</f>
        <v>5141481</v>
      </c>
      <c r="F104" s="662">
        <f>F108+F111+F112+F115+F105+F114+F113</f>
        <v>8552480</v>
      </c>
      <c r="G104" s="662">
        <f t="shared" si="12"/>
        <v>13693961</v>
      </c>
      <c r="H104" s="662">
        <f>H108+H111+H112+H115+H105</f>
        <v>3609481</v>
      </c>
      <c r="I104" s="662">
        <f>I108+I111+I112+I115+I105+I114+I113</f>
        <v>153600</v>
      </c>
      <c r="J104" s="717">
        <f>SUM(H104:I104)</f>
        <v>3763081</v>
      </c>
    </row>
    <row r="105" spans="1:10">
      <c r="B105" s="641" t="s">
        <v>879</v>
      </c>
      <c r="C105" s="715" t="s">
        <v>654</v>
      </c>
      <c r="D105" s="691" t="s">
        <v>1042</v>
      </c>
      <c r="E105" s="718">
        <f>E106+E107</f>
        <v>1473081</v>
      </c>
      <c r="F105" s="718">
        <f>F106</f>
        <v>222280</v>
      </c>
      <c r="G105" s="718">
        <f t="shared" si="12"/>
        <v>1695361</v>
      </c>
      <c r="H105" s="666">
        <f>H106+H107</f>
        <v>1381081</v>
      </c>
      <c r="I105" s="666"/>
      <c r="J105" s="714">
        <f>SUM(H105:I105)</f>
        <v>1381081</v>
      </c>
    </row>
    <row r="106" spans="1:10">
      <c r="C106" s="719" t="s">
        <v>1035</v>
      </c>
      <c r="D106" s="720" t="s">
        <v>1043</v>
      </c>
      <c r="E106" s="718">
        <v>453081</v>
      </c>
      <c r="F106" s="718">
        <v>222280</v>
      </c>
      <c r="G106" s="718">
        <f t="shared" si="12"/>
        <v>675361</v>
      </c>
      <c r="H106" s="666">
        <v>428940</v>
      </c>
      <c r="I106" s="666"/>
      <c r="J106" s="714">
        <f>SUM(H106:I106)</f>
        <v>428940</v>
      </c>
    </row>
    <row r="107" spans="1:10">
      <c r="C107" s="722"/>
      <c r="D107" s="698" t="s">
        <v>1046</v>
      </c>
      <c r="E107" s="666">
        <v>1020000</v>
      </c>
      <c r="F107" s="718">
        <v>0</v>
      </c>
      <c r="G107" s="666">
        <f t="shared" si="12"/>
        <v>1020000</v>
      </c>
      <c r="H107" s="666">
        <v>952141</v>
      </c>
      <c r="I107" s="666"/>
      <c r="J107" s="714">
        <f>SUM(H107:I107)</f>
        <v>952141</v>
      </c>
    </row>
    <row r="108" spans="1:10">
      <c r="B108" s="641" t="s">
        <v>879</v>
      </c>
      <c r="C108" s="715" t="s">
        <v>1116</v>
      </c>
      <c r="D108" s="691" t="s">
        <v>1042</v>
      </c>
      <c r="E108" s="666">
        <f>E109+E110</f>
        <v>1033400</v>
      </c>
      <c r="F108" s="666">
        <f>F109</f>
        <v>346600</v>
      </c>
      <c r="G108" s="666">
        <f t="shared" si="12"/>
        <v>1380000</v>
      </c>
      <c r="H108" s="666">
        <f>H109+H110</f>
        <v>983400</v>
      </c>
      <c r="I108" s="666"/>
      <c r="J108" s="714">
        <f>SUM(H108:I108)</f>
        <v>983400</v>
      </c>
    </row>
    <row r="109" spans="1:10" ht="12.75" customHeight="1">
      <c r="C109" s="723" t="s">
        <v>1117</v>
      </c>
      <c r="D109" s="678" t="s">
        <v>1043</v>
      </c>
      <c r="E109" s="670">
        <v>993400</v>
      </c>
      <c r="F109" s="670">
        <f>346600</f>
        <v>346600</v>
      </c>
      <c r="G109" s="670">
        <f t="shared" si="12"/>
        <v>1340000</v>
      </c>
      <c r="H109" s="670">
        <v>943400</v>
      </c>
      <c r="I109" s="670"/>
      <c r="J109" s="670">
        <f>SUM(H109:I109)</f>
        <v>943400</v>
      </c>
    </row>
    <row r="110" spans="1:10">
      <c r="C110" s="724" t="s">
        <v>1118</v>
      </c>
      <c r="D110" s="678" t="s">
        <v>1043</v>
      </c>
      <c r="E110" s="670">
        <v>40000</v>
      </c>
      <c r="F110" s="670"/>
      <c r="G110" s="670">
        <f t="shared" si="12"/>
        <v>40000</v>
      </c>
      <c r="H110" s="670">
        <v>40000</v>
      </c>
      <c r="I110" s="670"/>
      <c r="J110" s="670">
        <f>SUM(H110:I110)</f>
        <v>40000</v>
      </c>
    </row>
    <row r="111" spans="1:10">
      <c r="B111" s="641" t="s">
        <v>879</v>
      </c>
      <c r="C111" s="715" t="s">
        <v>1119</v>
      </c>
      <c r="D111" s="691" t="s">
        <v>1043</v>
      </c>
      <c r="E111" s="666">
        <v>815000</v>
      </c>
      <c r="F111" s="666"/>
      <c r="G111" s="666">
        <f t="shared" si="12"/>
        <v>815000</v>
      </c>
      <c r="H111" s="666">
        <v>765000</v>
      </c>
      <c r="I111" s="666"/>
      <c r="J111" s="714">
        <f>SUM(H111:I111)</f>
        <v>765000</v>
      </c>
    </row>
    <row r="112" spans="1:10">
      <c r="B112" s="641" t="s">
        <v>879</v>
      </c>
      <c r="C112" s="715" t="s">
        <v>1120</v>
      </c>
      <c r="D112" s="691" t="s">
        <v>1043</v>
      </c>
      <c r="E112" s="666">
        <v>190000</v>
      </c>
      <c r="F112" s="666">
        <v>7510000</v>
      </c>
      <c r="G112" s="666">
        <f t="shared" si="12"/>
        <v>7700000</v>
      </c>
      <c r="H112" s="666">
        <v>100000</v>
      </c>
      <c r="I112" s="666"/>
      <c r="J112" s="714">
        <f>SUM(H112:I112)</f>
        <v>100000</v>
      </c>
    </row>
    <row r="113" spans="2:10">
      <c r="C113" s="715" t="s">
        <v>1121</v>
      </c>
      <c r="D113" s="691" t="s">
        <v>1043</v>
      </c>
      <c r="E113" s="666"/>
      <c r="F113" s="666">
        <v>105000</v>
      </c>
      <c r="G113" s="666">
        <f t="shared" si="12"/>
        <v>105000</v>
      </c>
      <c r="H113" s="666"/>
      <c r="I113" s="666">
        <v>105000</v>
      </c>
      <c r="J113" s="714">
        <f>SUM(H113:I113)</f>
        <v>105000</v>
      </c>
    </row>
    <row r="114" spans="2:10">
      <c r="C114" s="715" t="s">
        <v>1122</v>
      </c>
      <c r="D114" s="691" t="s">
        <v>1043</v>
      </c>
      <c r="E114" s="666"/>
      <c r="F114" s="666">
        <v>48600</v>
      </c>
      <c r="G114" s="666">
        <f t="shared" si="12"/>
        <v>48600</v>
      </c>
      <c r="H114" s="666"/>
      <c r="I114" s="666">
        <v>48600</v>
      </c>
      <c r="J114" s="714">
        <f>SUM(H114:I114)</f>
        <v>48600</v>
      </c>
    </row>
    <row r="115" spans="2:10">
      <c r="C115" s="715" t="s">
        <v>1123</v>
      </c>
      <c r="D115" s="691" t="s">
        <v>1042</v>
      </c>
      <c r="E115" s="725">
        <f>SUM(E116:E117)</f>
        <v>1630000</v>
      </c>
      <c r="F115" s="726">
        <f>F116</f>
        <v>320000</v>
      </c>
      <c r="G115" s="725">
        <f t="shared" ref="G115:G175" si="14">E115+F115</f>
        <v>1950000</v>
      </c>
      <c r="H115" s="725">
        <f>H116+H117</f>
        <v>380000</v>
      </c>
      <c r="I115" s="725"/>
      <c r="J115" s="714">
        <f>SUM(H115:I115)</f>
        <v>380000</v>
      </c>
    </row>
    <row r="116" spans="2:10">
      <c r="B116" s="641" t="s">
        <v>879</v>
      </c>
      <c r="C116" s="723" t="s">
        <v>1124</v>
      </c>
      <c r="D116" s="678" t="s">
        <v>1043</v>
      </c>
      <c r="E116" s="728">
        <v>1400000</v>
      </c>
      <c r="F116" s="728">
        <v>320000</v>
      </c>
      <c r="G116" s="728">
        <f t="shared" si="14"/>
        <v>1720000</v>
      </c>
      <c r="H116" s="728">
        <v>150000</v>
      </c>
      <c r="I116" s="728"/>
      <c r="J116" s="714">
        <f>SUM(H116:I116)</f>
        <v>150000</v>
      </c>
    </row>
    <row r="117" spans="2:10">
      <c r="B117" s="641" t="s">
        <v>251</v>
      </c>
      <c r="C117" s="729" t="s">
        <v>1125</v>
      </c>
      <c r="D117" s="678" t="s">
        <v>1043</v>
      </c>
      <c r="E117" s="728">
        <f>150000+80000</f>
        <v>230000</v>
      </c>
      <c r="F117" s="728"/>
      <c r="G117" s="728">
        <f t="shared" si="14"/>
        <v>230000</v>
      </c>
      <c r="H117" s="728">
        <f>150000+80000</f>
        <v>230000</v>
      </c>
      <c r="I117" s="728"/>
      <c r="J117" s="714">
        <f>SUM(H117:I117)</f>
        <v>230000</v>
      </c>
    </row>
    <row r="118" spans="2:10">
      <c r="C118" s="689" t="s">
        <v>774</v>
      </c>
      <c r="D118" s="690" t="s">
        <v>1042</v>
      </c>
      <c r="E118" s="662">
        <f>E119+E121+E120</f>
        <v>496020</v>
      </c>
      <c r="F118" s="662">
        <f>F119+F121+F120</f>
        <v>-269820</v>
      </c>
      <c r="G118" s="662">
        <f t="shared" si="14"/>
        <v>226200</v>
      </c>
      <c r="H118" s="662">
        <f>H119+H121+H120</f>
        <v>430220</v>
      </c>
      <c r="I118" s="662">
        <f>I119+I121+I120</f>
        <v>-269820</v>
      </c>
      <c r="J118" s="714">
        <f>SUM(H118:I118)</f>
        <v>160400</v>
      </c>
    </row>
    <row r="119" spans="2:10">
      <c r="B119" s="641" t="s">
        <v>251</v>
      </c>
      <c r="C119" s="715" t="s">
        <v>1126</v>
      </c>
      <c r="D119" s="730" t="s">
        <v>150</v>
      </c>
      <c r="E119" s="666">
        <f>310020-34800-140040</f>
        <v>135180</v>
      </c>
      <c r="F119" s="666">
        <v>-129780</v>
      </c>
      <c r="G119" s="666">
        <f t="shared" si="14"/>
        <v>5400</v>
      </c>
      <c r="H119" s="666">
        <f>310020-34800-140040</f>
        <v>135180</v>
      </c>
      <c r="I119" s="666">
        <v>-129780</v>
      </c>
      <c r="J119" s="714">
        <f>SUM(H119:I119)</f>
        <v>5400</v>
      </c>
    </row>
    <row r="120" spans="2:10">
      <c r="B120" s="641" t="s">
        <v>251</v>
      </c>
      <c r="C120" s="720" t="s">
        <v>1127</v>
      </c>
      <c r="D120" s="730" t="s">
        <v>150</v>
      </c>
      <c r="E120" s="718">
        <v>140040</v>
      </c>
      <c r="F120" s="718">
        <v>-140040</v>
      </c>
      <c r="G120" s="718">
        <f t="shared" si="14"/>
        <v>0</v>
      </c>
      <c r="H120" s="666">
        <v>140040</v>
      </c>
      <c r="I120" s="666">
        <v>-140040</v>
      </c>
      <c r="J120" s="714">
        <f>SUM(H120:I120)</f>
        <v>0</v>
      </c>
    </row>
    <row r="121" spans="2:10" s="706" customFormat="1">
      <c r="B121" s="641" t="s">
        <v>879</v>
      </c>
      <c r="C121" s="552" t="s">
        <v>1128</v>
      </c>
      <c r="D121" s="731" t="s">
        <v>1043</v>
      </c>
      <c r="E121" s="718">
        <v>220800</v>
      </c>
      <c r="F121" s="718"/>
      <c r="G121" s="718">
        <f t="shared" si="14"/>
        <v>220800</v>
      </c>
      <c r="H121" s="666">
        <v>155000</v>
      </c>
      <c r="I121" s="666"/>
      <c r="J121" s="714">
        <f>SUM(H121:I121)</f>
        <v>155000</v>
      </c>
    </row>
    <row r="122" spans="2:10" s="95" customFormat="1">
      <c r="C122" s="660" t="s">
        <v>672</v>
      </c>
      <c r="D122" s="661" t="s">
        <v>1042</v>
      </c>
      <c r="E122" s="733">
        <f>SUM(E123,E135,E143,E175,E179,E184,E190,E191,E192)</f>
        <v>105298806</v>
      </c>
      <c r="F122" s="733">
        <f>SUM(F123,F135,F143,F175,F179,F184,F190,F191,F192,F131)</f>
        <v>10831203</v>
      </c>
      <c r="G122" s="733">
        <f t="shared" si="14"/>
        <v>116130009</v>
      </c>
      <c r="H122" s="732">
        <f>SUM(H123,H135,H143,H175,H179,H184,H190,H191,H192)</f>
        <v>53389608</v>
      </c>
      <c r="I122" s="733">
        <f>SUM(I123,I131,I135,I143,I175,I179,I184,I190,I191,I192)</f>
        <v>-1856623</v>
      </c>
      <c r="J122" s="714">
        <f>SUM(H122:I122)</f>
        <v>51532985</v>
      </c>
    </row>
    <row r="123" spans="2:10" s="95" customFormat="1" ht="12.6" customHeight="1">
      <c r="B123" s="95" t="s">
        <v>881</v>
      </c>
      <c r="C123" s="506" t="s">
        <v>1129</v>
      </c>
      <c r="D123" s="548" t="s">
        <v>1042</v>
      </c>
      <c r="E123" s="734">
        <f>SUM(E124:E126)</f>
        <v>69884900</v>
      </c>
      <c r="F123" s="734">
        <f>SUM(F124:F125)</f>
        <v>11919190</v>
      </c>
      <c r="G123" s="734">
        <f t="shared" si="14"/>
        <v>81804090</v>
      </c>
      <c r="H123" s="734">
        <f>SUM(H124:H126)</f>
        <v>27353907</v>
      </c>
      <c r="I123" s="734">
        <v>0</v>
      </c>
      <c r="J123" s="714">
        <f>SUM(H123:I123)</f>
        <v>27353907</v>
      </c>
    </row>
    <row r="124" spans="2:10" s="95" customFormat="1" ht="12.75" customHeight="1">
      <c r="C124" s="692" t="s">
        <v>1035</v>
      </c>
      <c r="D124" s="735" t="s">
        <v>1043</v>
      </c>
      <c r="E124" s="736">
        <v>10644134</v>
      </c>
      <c r="F124" s="736">
        <f>11919190-F125</f>
        <v>11629022</v>
      </c>
      <c r="G124" s="736">
        <f t="shared" si="14"/>
        <v>22273156</v>
      </c>
      <c r="H124" s="736">
        <v>3701455</v>
      </c>
      <c r="I124" s="736">
        <v>-290168</v>
      </c>
      <c r="J124" s="714">
        <f>SUM(H124:I124)</f>
        <v>3411287</v>
      </c>
    </row>
    <row r="125" spans="2:10" s="95" customFormat="1" ht="12.75" customHeight="1">
      <c r="C125" s="697"/>
      <c r="D125" s="737" t="s">
        <v>1044</v>
      </c>
      <c r="E125" s="734">
        <v>2850096</v>
      </c>
      <c r="F125" s="734">
        <v>290168</v>
      </c>
      <c r="G125" s="734">
        <f t="shared" si="14"/>
        <v>3140264</v>
      </c>
      <c r="H125" s="734">
        <v>1513854</v>
      </c>
      <c r="I125" s="734">
        <v>290168</v>
      </c>
      <c r="J125" s="714">
        <f>SUM(H125:I125)</f>
        <v>1804022</v>
      </c>
    </row>
    <row r="126" spans="2:10" s="95" customFormat="1" ht="12.75" customHeight="1">
      <c r="C126" s="552"/>
      <c r="D126" s="735" t="s">
        <v>1046</v>
      </c>
      <c r="E126" s="734">
        <v>56390670</v>
      </c>
      <c r="F126" s="734">
        <v>0</v>
      </c>
      <c r="G126" s="734">
        <f t="shared" si="14"/>
        <v>56390670</v>
      </c>
      <c r="H126" s="734">
        <v>22138598</v>
      </c>
      <c r="I126" s="734">
        <v>0</v>
      </c>
      <c r="J126" s="714">
        <f>SUM(H126:I126)</f>
        <v>22138598</v>
      </c>
    </row>
    <row r="127" spans="2:10" s="738" customFormat="1">
      <c r="C127" s="696" t="s">
        <v>1130</v>
      </c>
      <c r="D127" s="668"/>
      <c r="E127" s="739"/>
      <c r="F127" s="739"/>
      <c r="G127" s="739">
        <f t="shared" si="14"/>
        <v>0</v>
      </c>
      <c r="H127" s="739"/>
      <c r="I127" s="739"/>
      <c r="J127" s="714">
        <f>SUM(H127:I127)</f>
        <v>0</v>
      </c>
    </row>
    <row r="128" spans="2:10" s="738" customFormat="1">
      <c r="C128" s="667" t="s">
        <v>1131</v>
      </c>
      <c r="D128" s="668"/>
      <c r="E128" s="739"/>
      <c r="F128" s="739"/>
      <c r="G128" s="739">
        <f t="shared" si="14"/>
        <v>0</v>
      </c>
      <c r="H128" s="739"/>
      <c r="I128" s="739"/>
      <c r="J128" s="714">
        <f>SUM(H128:I128)</f>
        <v>0</v>
      </c>
    </row>
    <row r="129" spans="2:10" s="738" customFormat="1">
      <c r="C129" s="667" t="s">
        <v>658</v>
      </c>
      <c r="D129" s="668"/>
      <c r="E129" s="739"/>
      <c r="F129" s="739"/>
      <c r="G129" s="739">
        <f t="shared" si="14"/>
        <v>0</v>
      </c>
      <c r="H129" s="739"/>
      <c r="I129" s="739"/>
      <c r="J129" s="714">
        <f>SUM(H129:I129)</f>
        <v>0</v>
      </c>
    </row>
    <row r="130" spans="2:10" s="738" customFormat="1">
      <c r="C130" s="667" t="s">
        <v>1132</v>
      </c>
      <c r="D130" s="668"/>
      <c r="E130" s="739"/>
      <c r="F130" s="739"/>
      <c r="G130" s="739">
        <f t="shared" si="14"/>
        <v>0</v>
      </c>
      <c r="H130" s="739"/>
      <c r="I130" s="739"/>
      <c r="J130" s="714">
        <f>SUM(H130:I130)</f>
        <v>0</v>
      </c>
    </row>
    <row r="131" spans="2:10" s="738" customFormat="1">
      <c r="B131" s="95" t="s">
        <v>881</v>
      </c>
      <c r="C131" s="550" t="s">
        <v>932</v>
      </c>
      <c r="D131" s="548" t="s">
        <v>1042</v>
      </c>
      <c r="E131" s="739"/>
      <c r="F131" s="740">
        <f>F132+F133</f>
        <v>775200</v>
      </c>
      <c r="G131" s="740">
        <f t="shared" si="14"/>
        <v>775200</v>
      </c>
      <c r="H131" s="739"/>
      <c r="I131" s="507">
        <v>6564</v>
      </c>
      <c r="J131" s="714">
        <f>SUM(H131:I131)</f>
        <v>6564</v>
      </c>
    </row>
    <row r="132" spans="2:10" s="738" customFormat="1">
      <c r="C132" s="692" t="s">
        <v>1035</v>
      </c>
      <c r="D132" s="548" t="s">
        <v>1043</v>
      </c>
      <c r="E132" s="739"/>
      <c r="F132" s="740">
        <v>387600</v>
      </c>
      <c r="G132" s="740">
        <f t="shared" si="14"/>
        <v>387600</v>
      </c>
      <c r="H132" s="739"/>
      <c r="I132" s="507">
        <v>3282</v>
      </c>
      <c r="J132" s="714">
        <f>SUM(H132:I132)</f>
        <v>3282</v>
      </c>
    </row>
    <row r="133" spans="2:10" s="738" customFormat="1">
      <c r="C133" s="697"/>
      <c r="D133" s="741" t="s">
        <v>1046</v>
      </c>
      <c r="E133" s="739"/>
      <c r="F133" s="740">
        <v>387600</v>
      </c>
      <c r="G133" s="740">
        <f t="shared" si="14"/>
        <v>387600</v>
      </c>
      <c r="H133" s="739"/>
      <c r="I133" s="507">
        <v>3282</v>
      </c>
      <c r="J133" s="714">
        <f>SUM(H133:I133)</f>
        <v>3282</v>
      </c>
    </row>
    <row r="134" spans="2:10" s="738" customFormat="1" ht="11.25">
      <c r="C134" s="742" t="s">
        <v>121</v>
      </c>
      <c r="D134" s="743"/>
      <c r="E134" s="739"/>
      <c r="F134" s="744">
        <v>71700</v>
      </c>
      <c r="G134" s="744">
        <f t="shared" si="14"/>
        <v>71700</v>
      </c>
      <c r="H134" s="739"/>
      <c r="I134" s="744">
        <v>6564</v>
      </c>
      <c r="J134" s="670">
        <f>SUM(H134:I134)</f>
        <v>6564</v>
      </c>
    </row>
    <row r="135" spans="2:10" s="95" customFormat="1">
      <c r="B135" s="95" t="s">
        <v>881</v>
      </c>
      <c r="C135" s="506" t="s">
        <v>1133</v>
      </c>
      <c r="D135" s="548" t="s">
        <v>1042</v>
      </c>
      <c r="E135" s="734">
        <f>E136+E137</f>
        <v>8373506</v>
      </c>
      <c r="F135" s="734"/>
      <c r="G135" s="734">
        <f t="shared" si="14"/>
        <v>8373506</v>
      </c>
      <c r="H135" s="734">
        <f>H136+H137</f>
        <v>1195301</v>
      </c>
      <c r="I135" s="734"/>
      <c r="J135" s="734">
        <f>SUM(H135:I135)</f>
        <v>1195301</v>
      </c>
    </row>
    <row r="136" spans="2:10" s="95" customFormat="1">
      <c r="C136" s="692" t="s">
        <v>1035</v>
      </c>
      <c r="D136" s="548" t="s">
        <v>1043</v>
      </c>
      <c r="E136" s="734">
        <v>1369507</v>
      </c>
      <c r="F136" s="734"/>
      <c r="G136" s="734">
        <f t="shared" si="14"/>
        <v>1369507</v>
      </c>
      <c r="H136" s="734">
        <v>188998</v>
      </c>
      <c r="I136" s="734"/>
      <c r="J136" s="734">
        <f>SUM(H136:I136)</f>
        <v>188998</v>
      </c>
    </row>
    <row r="137" spans="2:10" s="95" customFormat="1" ht="12.75" customHeight="1">
      <c r="C137" s="552"/>
      <c r="D137" s="741" t="s">
        <v>1046</v>
      </c>
      <c r="E137" s="734">
        <v>7003999</v>
      </c>
      <c r="F137" s="734"/>
      <c r="G137" s="734">
        <f t="shared" si="14"/>
        <v>7003999</v>
      </c>
      <c r="H137" s="734">
        <v>1006303</v>
      </c>
      <c r="I137" s="734"/>
      <c r="J137" s="734">
        <f>SUM(H137:I137)</f>
        <v>1006303</v>
      </c>
    </row>
    <row r="138" spans="2:10" s="738" customFormat="1" ht="11.25">
      <c r="C138" s="696" t="s">
        <v>1134</v>
      </c>
      <c r="D138" s="668"/>
      <c r="E138" s="745"/>
      <c r="F138" s="745"/>
      <c r="G138" s="745">
        <f t="shared" si="14"/>
        <v>0</v>
      </c>
      <c r="H138" s="745"/>
      <c r="I138" s="745"/>
      <c r="J138" s="745">
        <f>SUM(H138:I138)</f>
        <v>0</v>
      </c>
    </row>
    <row r="139" spans="2:10" s="738" customFormat="1" ht="11.25">
      <c r="C139" s="667" t="s">
        <v>661</v>
      </c>
      <c r="D139" s="668"/>
      <c r="E139" s="745"/>
      <c r="F139" s="745"/>
      <c r="G139" s="745">
        <f t="shared" si="14"/>
        <v>0</v>
      </c>
      <c r="H139" s="745"/>
      <c r="I139" s="745"/>
      <c r="J139" s="745">
        <f>SUM(H139:I139)</f>
        <v>0</v>
      </c>
    </row>
    <row r="140" spans="2:10" s="738" customFormat="1" ht="11.25">
      <c r="C140" s="667" t="s">
        <v>1135</v>
      </c>
      <c r="D140" s="668"/>
      <c r="E140" s="745"/>
      <c r="F140" s="745"/>
      <c r="G140" s="745">
        <f t="shared" si="14"/>
        <v>0</v>
      </c>
      <c r="H140" s="745"/>
      <c r="I140" s="745"/>
      <c r="J140" s="745">
        <f>SUM(H140:I140)</f>
        <v>0</v>
      </c>
    </row>
    <row r="141" spans="2:10" s="738" customFormat="1" ht="11.25">
      <c r="C141" s="667" t="s">
        <v>663</v>
      </c>
      <c r="D141" s="668"/>
      <c r="E141" s="745"/>
      <c r="F141" s="745"/>
      <c r="G141" s="745">
        <f t="shared" si="14"/>
        <v>0</v>
      </c>
      <c r="H141" s="745"/>
      <c r="I141" s="745"/>
      <c r="J141" s="745">
        <f>SUM(H141:I141)</f>
        <v>0</v>
      </c>
    </row>
    <row r="142" spans="2:10" s="738" customFormat="1" ht="11.25">
      <c r="C142" s="667" t="s">
        <v>662</v>
      </c>
      <c r="D142" s="668"/>
      <c r="E142" s="745"/>
      <c r="F142" s="745"/>
      <c r="G142" s="745">
        <f t="shared" si="14"/>
        <v>0</v>
      </c>
      <c r="H142" s="745"/>
      <c r="I142" s="745"/>
      <c r="J142" s="745">
        <f>SUM(H142:I142)</f>
        <v>0</v>
      </c>
    </row>
    <row r="143" spans="2:10" s="95" customFormat="1">
      <c r="B143" s="95" t="s">
        <v>881</v>
      </c>
      <c r="C143" s="506" t="s">
        <v>1136</v>
      </c>
      <c r="D143" s="548" t="s">
        <v>1042</v>
      </c>
      <c r="E143" s="507">
        <f>E144+E145+E146</f>
        <v>21260000</v>
      </c>
      <c r="F143" s="507">
        <f>F144+F145+F146</f>
        <v>-2047335</v>
      </c>
      <c r="G143" s="507">
        <f t="shared" si="14"/>
        <v>19212665</v>
      </c>
      <c r="H143" s="507">
        <f>H144+H145</f>
        <v>21260000</v>
      </c>
      <c r="I143" s="507">
        <f>I144+I145+I146</f>
        <v>-2047335</v>
      </c>
      <c r="J143" s="507">
        <f>SUM(H143:I143)</f>
        <v>19212665</v>
      </c>
    </row>
    <row r="144" spans="2:10" s="95" customFormat="1">
      <c r="C144" s="746" t="s">
        <v>1035</v>
      </c>
      <c r="D144" s="548" t="s">
        <v>1043</v>
      </c>
      <c r="E144" s="507">
        <v>17834285</v>
      </c>
      <c r="F144" s="507">
        <f>500000+170000+400000-4000000+50000+100000+100000</f>
        <v>-2680000</v>
      </c>
      <c r="G144" s="507">
        <f t="shared" si="14"/>
        <v>15154285</v>
      </c>
      <c r="H144" s="507">
        <v>17834285</v>
      </c>
      <c r="I144" s="507">
        <f>500000+170000+400000-4000000+50000+100000+100000</f>
        <v>-2680000</v>
      </c>
      <c r="J144" s="507">
        <f>SUM(H144:I144)</f>
        <v>15154285</v>
      </c>
    </row>
    <row r="145" spans="3:10" s="95" customFormat="1">
      <c r="C145" s="552"/>
      <c r="D145" s="548" t="s">
        <v>1045</v>
      </c>
      <c r="E145" s="507">
        <v>3425715</v>
      </c>
      <c r="F145" s="507">
        <v>144998</v>
      </c>
      <c r="G145" s="507">
        <f t="shared" si="14"/>
        <v>3570713</v>
      </c>
      <c r="H145" s="507">
        <v>3425715</v>
      </c>
      <c r="I145" s="507">
        <v>144998</v>
      </c>
      <c r="J145" s="507">
        <f>SUM(H145:I145)</f>
        <v>3570713</v>
      </c>
    </row>
    <row r="146" spans="3:10" s="95" customFormat="1">
      <c r="C146" s="552"/>
      <c r="D146" s="741" t="s">
        <v>1044</v>
      </c>
      <c r="E146" s="747"/>
      <c r="F146" s="507">
        <v>487667</v>
      </c>
      <c r="G146" s="507">
        <f t="shared" si="14"/>
        <v>487667</v>
      </c>
      <c r="H146" s="507"/>
      <c r="I146" s="507">
        <v>487667</v>
      </c>
      <c r="J146" s="507"/>
    </row>
    <row r="147" spans="3:10" s="95" customFormat="1">
      <c r="C147" s="748" t="s">
        <v>1137</v>
      </c>
      <c r="D147" s="743"/>
      <c r="E147" s="749"/>
      <c r="F147" s="749"/>
      <c r="G147" s="749">
        <f t="shared" si="14"/>
        <v>0</v>
      </c>
      <c r="H147" s="744"/>
      <c r="I147" s="744"/>
      <c r="J147" s="744">
        <f>SUM(H147:I147)</f>
        <v>0</v>
      </c>
    </row>
    <row r="148" spans="3:10" s="95" customFormat="1">
      <c r="C148" s="750" t="s">
        <v>1138</v>
      </c>
      <c r="D148" s="743"/>
      <c r="E148" s="673"/>
      <c r="F148" s="751" t="s">
        <v>1025</v>
      </c>
      <c r="G148" s="673"/>
      <c r="H148" s="744"/>
      <c r="I148" s="744"/>
      <c r="J148" s="744">
        <f>SUM(H148:I148)</f>
        <v>0</v>
      </c>
    </row>
    <row r="149" spans="3:10" s="95" customFormat="1">
      <c r="C149" s="750" t="s">
        <v>1139</v>
      </c>
      <c r="D149" s="743"/>
      <c r="E149" s="673"/>
      <c r="F149" s="673"/>
      <c r="G149" s="673"/>
      <c r="H149" s="744"/>
      <c r="I149" s="744"/>
      <c r="J149" s="744">
        <f>SUM(H149:I149)</f>
        <v>0</v>
      </c>
    </row>
    <row r="150" spans="3:10" s="95" customFormat="1">
      <c r="C150" s="679" t="s">
        <v>1140</v>
      </c>
      <c r="D150" s="668"/>
      <c r="E150" s="669"/>
      <c r="F150" s="669"/>
      <c r="G150" s="669"/>
      <c r="H150" s="739"/>
      <c r="I150" s="739"/>
      <c r="J150" s="739">
        <f>SUM(H150:I150)</f>
        <v>0</v>
      </c>
    </row>
    <row r="151" spans="3:10" s="95" customFormat="1">
      <c r="C151" s="679" t="s">
        <v>1141</v>
      </c>
      <c r="D151" s="668"/>
      <c r="E151" s="669"/>
      <c r="F151" s="669"/>
      <c r="G151" s="669"/>
      <c r="H151" s="739"/>
      <c r="I151" s="739"/>
      <c r="J151" s="739">
        <f>SUM(H151:I151)</f>
        <v>0</v>
      </c>
    </row>
    <row r="152" spans="3:10" s="95" customFormat="1">
      <c r="C152" s="679" t="s">
        <v>1142</v>
      </c>
      <c r="D152" s="668"/>
      <c r="E152" s="669"/>
      <c r="F152" s="669"/>
      <c r="G152" s="669"/>
      <c r="H152" s="739"/>
      <c r="I152" s="739"/>
      <c r="J152" s="739">
        <f>SUM(H152:I152)</f>
        <v>0</v>
      </c>
    </row>
    <row r="153" spans="3:10" s="95" customFormat="1">
      <c r="C153" s="679" t="s">
        <v>1143</v>
      </c>
      <c r="D153" s="668"/>
      <c r="E153" s="669"/>
      <c r="F153" s="669"/>
      <c r="G153" s="669"/>
      <c r="H153" s="739"/>
      <c r="I153" s="739"/>
      <c r="J153" s="739">
        <f>SUM(H153:I153)</f>
        <v>0</v>
      </c>
    </row>
    <row r="154" spans="3:10" s="95" customFormat="1">
      <c r="C154" s="679" t="s">
        <v>1144</v>
      </c>
      <c r="D154" s="668"/>
      <c r="E154" s="669"/>
      <c r="F154" s="669"/>
      <c r="G154" s="669"/>
      <c r="H154" s="739"/>
      <c r="I154" s="739"/>
      <c r="J154" s="739">
        <f>SUM(H154:I154)</f>
        <v>0</v>
      </c>
    </row>
    <row r="155" spans="3:10" s="95" customFormat="1">
      <c r="C155" s="679" t="s">
        <v>951</v>
      </c>
      <c r="D155" s="668"/>
      <c r="E155" s="669"/>
      <c r="F155" s="751" t="s">
        <v>1025</v>
      </c>
      <c r="G155" s="669"/>
      <c r="H155" s="739"/>
      <c r="I155" s="739"/>
      <c r="J155" s="739">
        <f>SUM(H155:I155)</f>
        <v>0</v>
      </c>
    </row>
    <row r="156" spans="3:10" s="95" customFormat="1">
      <c r="C156" s="679" t="s">
        <v>1145</v>
      </c>
      <c r="D156" s="668"/>
      <c r="E156" s="669"/>
      <c r="F156" s="751" t="s">
        <v>1025</v>
      </c>
      <c r="G156" s="669"/>
      <c r="H156" s="739"/>
      <c r="I156" s="739"/>
      <c r="J156" s="739">
        <f>SUM(H156:I156)</f>
        <v>0</v>
      </c>
    </row>
    <row r="157" spans="3:10" s="95" customFormat="1">
      <c r="C157" s="679" t="s">
        <v>1146</v>
      </c>
      <c r="D157" s="668"/>
      <c r="E157" s="669"/>
      <c r="F157" s="669"/>
      <c r="G157" s="669"/>
      <c r="H157" s="739"/>
      <c r="I157" s="739"/>
      <c r="J157" s="739">
        <f>SUM(H157:I157)</f>
        <v>0</v>
      </c>
    </row>
    <row r="158" spans="3:10" s="95" customFormat="1">
      <c r="C158" s="679" t="s">
        <v>1147</v>
      </c>
      <c r="D158" s="668"/>
      <c r="E158" s="669"/>
      <c r="F158" s="669"/>
      <c r="G158" s="669"/>
      <c r="H158" s="739"/>
      <c r="I158" s="739"/>
      <c r="J158" s="739">
        <f>SUM(H158:I158)</f>
        <v>0</v>
      </c>
    </row>
    <row r="159" spans="3:10" s="95" customFormat="1">
      <c r="C159" s="679" t="s">
        <v>1148</v>
      </c>
      <c r="D159" s="668"/>
      <c r="E159" s="669"/>
      <c r="F159" s="669"/>
      <c r="G159" s="669"/>
      <c r="H159" s="739"/>
      <c r="I159" s="739"/>
      <c r="J159" s="739">
        <f>SUM(H159:I159)</f>
        <v>0</v>
      </c>
    </row>
    <row r="160" spans="3:10" s="95" customFormat="1">
      <c r="C160" s="679" t="s">
        <v>1149</v>
      </c>
      <c r="D160" s="668"/>
      <c r="E160" s="669"/>
      <c r="F160" s="669"/>
      <c r="G160" s="669"/>
      <c r="H160" s="739"/>
      <c r="I160" s="739"/>
      <c r="J160" s="739">
        <f>SUM(H160:I160)</f>
        <v>0</v>
      </c>
    </row>
    <row r="161" spans="2:10" s="95" customFormat="1">
      <c r="C161" s="679" t="s">
        <v>1150</v>
      </c>
      <c r="D161" s="668"/>
      <c r="E161" s="669"/>
      <c r="F161" s="669"/>
      <c r="G161" s="669"/>
      <c r="H161" s="739"/>
      <c r="I161" s="739"/>
      <c r="J161" s="739">
        <f>SUM(H161:I161)</f>
        <v>0</v>
      </c>
    </row>
    <row r="162" spans="2:10" s="95" customFormat="1">
      <c r="C162" s="679" t="s">
        <v>1151</v>
      </c>
      <c r="D162" s="668"/>
      <c r="E162" s="669"/>
      <c r="F162" s="669"/>
      <c r="G162" s="669"/>
      <c r="H162" s="739"/>
      <c r="I162" s="739"/>
      <c r="J162" s="739">
        <f>SUM(H162:I162)</f>
        <v>0</v>
      </c>
    </row>
    <row r="163" spans="2:10" s="95" customFormat="1">
      <c r="C163" s="679" t="s">
        <v>1152</v>
      </c>
      <c r="D163" s="668"/>
      <c r="E163" s="669"/>
      <c r="F163" s="669"/>
      <c r="G163" s="669"/>
      <c r="H163" s="739"/>
      <c r="I163" s="739"/>
      <c r="J163" s="739">
        <f>SUM(H163:I163)</f>
        <v>0</v>
      </c>
    </row>
    <row r="164" spans="2:10" s="95" customFormat="1">
      <c r="C164" s="679" t="s">
        <v>1153</v>
      </c>
      <c r="D164" s="668"/>
      <c r="E164" s="669"/>
      <c r="F164" s="669"/>
      <c r="G164" s="669"/>
      <c r="H164" s="739"/>
      <c r="I164" s="739"/>
      <c r="J164" s="739">
        <f>SUM(H164:I164)</f>
        <v>0</v>
      </c>
    </row>
    <row r="165" spans="2:10" s="95" customFormat="1">
      <c r="C165" s="679" t="s">
        <v>953</v>
      </c>
      <c r="D165" s="668"/>
      <c r="E165" s="673"/>
      <c r="F165" s="751" t="s">
        <v>1025</v>
      </c>
      <c r="G165" s="673"/>
      <c r="H165" s="744"/>
      <c r="I165" s="744"/>
      <c r="J165" s="744">
        <f>SUM(H165:I165)</f>
        <v>0</v>
      </c>
    </row>
    <row r="166" spans="2:10" s="95" customFormat="1">
      <c r="C166" s="750" t="s">
        <v>1154</v>
      </c>
      <c r="D166" s="743"/>
      <c r="E166" s="673"/>
      <c r="F166" s="751" t="s">
        <v>1025</v>
      </c>
      <c r="G166" s="673"/>
      <c r="H166" s="744"/>
      <c r="I166" s="744"/>
      <c r="J166" s="744"/>
    </row>
    <row r="167" spans="2:10" s="95" customFormat="1">
      <c r="C167" s="750" t="s">
        <v>1155</v>
      </c>
      <c r="D167" s="743"/>
      <c r="E167" s="673"/>
      <c r="F167" s="751" t="s">
        <v>1025</v>
      </c>
      <c r="G167" s="673"/>
      <c r="H167" s="744"/>
      <c r="I167" s="744"/>
      <c r="J167" s="744"/>
    </row>
    <row r="168" spans="2:10" s="95" customFormat="1">
      <c r="C168" s="750" t="s">
        <v>1156</v>
      </c>
      <c r="D168" s="743"/>
      <c r="E168" s="673"/>
      <c r="F168" s="673"/>
      <c r="G168" s="673"/>
      <c r="H168" s="744"/>
      <c r="I168" s="744"/>
      <c r="J168" s="744">
        <f>SUM(H168:I168)</f>
        <v>0</v>
      </c>
    </row>
    <row r="169" spans="2:10" s="95" customFormat="1">
      <c r="C169" s="679" t="s">
        <v>1157</v>
      </c>
      <c r="D169" s="668"/>
      <c r="E169" s="669"/>
      <c r="F169" s="751" t="s">
        <v>1025</v>
      </c>
      <c r="G169" s="669"/>
      <c r="H169" s="739"/>
      <c r="I169" s="739"/>
      <c r="J169" s="739">
        <f>SUM(H169:I169)</f>
        <v>0</v>
      </c>
    </row>
    <row r="170" spans="2:10" s="95" customFormat="1">
      <c r="C170" s="750" t="s">
        <v>1158</v>
      </c>
      <c r="D170" s="743"/>
      <c r="E170" s="673"/>
      <c r="F170" s="673"/>
      <c r="G170" s="673"/>
      <c r="H170" s="744"/>
      <c r="I170" s="744"/>
      <c r="J170" s="744">
        <f>SUM(H170:I170)</f>
        <v>0</v>
      </c>
    </row>
    <row r="171" spans="2:10" s="95" customFormat="1">
      <c r="C171" s="679" t="s">
        <v>1159</v>
      </c>
      <c r="D171" s="668"/>
      <c r="E171" s="669"/>
      <c r="F171" s="669"/>
      <c r="G171" s="669"/>
      <c r="H171" s="739"/>
      <c r="I171" s="739"/>
      <c r="J171" s="739">
        <f>SUM(H171:I171)</f>
        <v>0</v>
      </c>
    </row>
    <row r="172" spans="2:10" s="95" customFormat="1">
      <c r="C172" s="679" t="s">
        <v>1160</v>
      </c>
      <c r="D172" s="668"/>
      <c r="E172" s="669"/>
      <c r="F172" s="752" t="s">
        <v>1025</v>
      </c>
      <c r="G172" s="669"/>
      <c r="H172" s="739"/>
      <c r="I172" s="739"/>
      <c r="J172" s="739"/>
    </row>
    <row r="173" spans="2:10" s="95" customFormat="1">
      <c r="C173" s="679" t="s">
        <v>1161</v>
      </c>
      <c r="D173" s="668"/>
      <c r="E173" s="669"/>
      <c r="F173" s="752" t="s">
        <v>1025</v>
      </c>
      <c r="G173" s="669"/>
      <c r="H173" s="739"/>
      <c r="I173" s="739"/>
      <c r="J173" s="739">
        <f>SUM(H173:I173)</f>
        <v>0</v>
      </c>
    </row>
    <row r="174" spans="2:10" s="95" customFormat="1">
      <c r="C174" s="679" t="s">
        <v>1162</v>
      </c>
      <c r="D174" s="668"/>
      <c r="E174" s="669"/>
      <c r="F174" s="669"/>
      <c r="G174" s="669">
        <f t="shared" si="14"/>
        <v>0</v>
      </c>
      <c r="H174" s="739"/>
      <c r="I174" s="739"/>
      <c r="J174" s="739">
        <f>SUM(H174:I174)</f>
        <v>0</v>
      </c>
    </row>
    <row r="175" spans="2:10" s="95" customFormat="1">
      <c r="B175" s="95" t="s">
        <v>881</v>
      </c>
      <c r="C175" s="548" t="s">
        <v>1163</v>
      </c>
      <c r="D175" s="548" t="s">
        <v>1043</v>
      </c>
      <c r="E175" s="507">
        <v>1500000</v>
      </c>
      <c r="F175" s="507"/>
      <c r="G175" s="507">
        <f t="shared" si="14"/>
        <v>1500000</v>
      </c>
      <c r="H175" s="507">
        <v>950000</v>
      </c>
      <c r="I175" s="507"/>
      <c r="J175" s="507">
        <f>SUM(H175:I175)</f>
        <v>950000</v>
      </c>
    </row>
    <row r="176" spans="2:10" s="95" customFormat="1">
      <c r="C176" s="753" t="s">
        <v>1164</v>
      </c>
      <c r="D176" s="668"/>
      <c r="E176" s="739"/>
      <c r="F176" s="739"/>
      <c r="G176" s="739">
        <f t="shared" ref="G176:G232" si="15">E176+F176</f>
        <v>0</v>
      </c>
      <c r="H176" s="739"/>
      <c r="I176" s="739"/>
      <c r="J176" s="739">
        <f>SUM(H176:I176)</f>
        <v>0</v>
      </c>
    </row>
    <row r="177" spans="2:10" s="95" customFormat="1">
      <c r="C177" s="679" t="s">
        <v>1165</v>
      </c>
      <c r="D177" s="668"/>
      <c r="E177" s="739"/>
      <c r="F177" s="739"/>
      <c r="G177" s="739">
        <f t="shared" si="15"/>
        <v>0</v>
      </c>
      <c r="H177" s="739"/>
      <c r="I177" s="739"/>
      <c r="J177" s="739">
        <f>SUM(H177:I177)</f>
        <v>0</v>
      </c>
    </row>
    <row r="178" spans="2:10" s="95" customFormat="1">
      <c r="C178" s="679" t="s">
        <v>1166</v>
      </c>
      <c r="D178" s="668"/>
      <c r="E178" s="739"/>
      <c r="F178" s="739"/>
      <c r="G178" s="739">
        <f t="shared" si="15"/>
        <v>0</v>
      </c>
      <c r="H178" s="739"/>
      <c r="I178" s="739"/>
      <c r="J178" s="739">
        <f>SUM(H178:I178)</f>
        <v>0</v>
      </c>
    </row>
    <row r="179" spans="2:10" s="95" customFormat="1">
      <c r="B179" s="95" t="s">
        <v>881</v>
      </c>
      <c r="C179" s="548" t="s">
        <v>1167</v>
      </c>
      <c r="D179" s="548" t="s">
        <v>1042</v>
      </c>
      <c r="E179" s="754">
        <f>E180</f>
        <v>1000000</v>
      </c>
      <c r="F179" s="754">
        <f>SUM(F181:F181)</f>
        <v>184148</v>
      </c>
      <c r="G179" s="754">
        <f t="shared" si="15"/>
        <v>1184148</v>
      </c>
      <c r="H179" s="507">
        <v>1000000</v>
      </c>
      <c r="I179" s="507">
        <f>SUM(I181:I181)</f>
        <v>184148</v>
      </c>
      <c r="J179" s="507">
        <f>SUM(H179:I179)</f>
        <v>1184148</v>
      </c>
    </row>
    <row r="180" spans="2:10" s="95" customFormat="1">
      <c r="C180" s="741"/>
      <c r="D180" s="741" t="s">
        <v>1043</v>
      </c>
      <c r="E180" s="754">
        <v>1000000</v>
      </c>
      <c r="F180" s="754">
        <v>0</v>
      </c>
      <c r="G180" s="754">
        <f t="shared" si="15"/>
        <v>1000000</v>
      </c>
      <c r="H180" s="507">
        <v>1000000</v>
      </c>
      <c r="I180" s="507">
        <v>0</v>
      </c>
      <c r="J180" s="507"/>
    </row>
    <row r="181" spans="2:10" s="95" customFormat="1">
      <c r="C181" s="741"/>
      <c r="D181" s="741" t="s">
        <v>1045</v>
      </c>
      <c r="E181" s="754"/>
      <c r="F181" s="754">
        <v>184148</v>
      </c>
      <c r="G181" s="754">
        <f t="shared" si="15"/>
        <v>184148</v>
      </c>
      <c r="H181" s="507"/>
      <c r="I181" s="507">
        <v>184148</v>
      </c>
      <c r="J181" s="507"/>
    </row>
    <row r="182" spans="2:10" s="95" customFormat="1">
      <c r="C182" s="755" t="s">
        <v>1168</v>
      </c>
      <c r="D182" s="668"/>
      <c r="E182" s="673"/>
      <c r="F182" s="673"/>
      <c r="G182" s="673">
        <f t="shared" si="15"/>
        <v>0</v>
      </c>
      <c r="H182" s="744"/>
      <c r="I182" s="744"/>
      <c r="J182" s="744">
        <f>SUM(H182:I182)</f>
        <v>0</v>
      </c>
    </row>
    <row r="183" spans="2:10" s="95" customFormat="1">
      <c r="C183" s="750" t="s">
        <v>1169</v>
      </c>
      <c r="D183" s="668"/>
      <c r="E183" s="673"/>
      <c r="F183" s="673"/>
      <c r="G183" s="673">
        <f t="shared" si="15"/>
        <v>0</v>
      </c>
      <c r="H183" s="744"/>
      <c r="I183" s="744"/>
      <c r="J183" s="744">
        <f>SUM(H183:I183)</f>
        <v>0</v>
      </c>
    </row>
    <row r="184" spans="2:10" s="95" customFormat="1">
      <c r="B184" s="95" t="s">
        <v>880</v>
      </c>
      <c r="C184" s="552" t="s">
        <v>1170</v>
      </c>
      <c r="D184" s="548" t="s">
        <v>1043</v>
      </c>
      <c r="E184" s="754">
        <v>463400</v>
      </c>
      <c r="F184" s="754"/>
      <c r="G184" s="754">
        <f t="shared" si="15"/>
        <v>463400</v>
      </c>
      <c r="H184" s="507">
        <v>463400</v>
      </c>
      <c r="I184" s="507"/>
      <c r="J184" s="507">
        <f>SUM(H184:I184)</f>
        <v>463400</v>
      </c>
    </row>
    <row r="185" spans="2:10" s="95" customFormat="1">
      <c r="C185" s="748" t="s">
        <v>1171</v>
      </c>
      <c r="D185" s="668"/>
      <c r="E185" s="749"/>
      <c r="F185" s="749"/>
      <c r="G185" s="749">
        <f t="shared" si="15"/>
        <v>0</v>
      </c>
      <c r="H185" s="756"/>
      <c r="I185" s="756"/>
      <c r="J185" s="756">
        <f>SUM(H185:I185)</f>
        <v>0</v>
      </c>
    </row>
    <row r="186" spans="2:10" s="95" customFormat="1">
      <c r="C186" s="674" t="s">
        <v>1172</v>
      </c>
      <c r="D186" s="668"/>
      <c r="E186" s="749"/>
      <c r="F186" s="749"/>
      <c r="G186" s="749">
        <f t="shared" si="15"/>
        <v>0</v>
      </c>
      <c r="H186" s="756"/>
      <c r="I186" s="756"/>
      <c r="J186" s="756">
        <f>SUM(H186:I186)</f>
        <v>0</v>
      </c>
    </row>
    <row r="187" spans="2:10" s="95" customFormat="1">
      <c r="C187" s="674" t="s">
        <v>1173</v>
      </c>
      <c r="D187" s="668"/>
      <c r="E187" s="749"/>
      <c r="F187" s="749"/>
      <c r="G187" s="749">
        <f t="shared" si="15"/>
        <v>0</v>
      </c>
      <c r="H187" s="756"/>
      <c r="I187" s="756"/>
      <c r="J187" s="756">
        <f>SUM(H187:I187)</f>
        <v>0</v>
      </c>
    </row>
    <row r="188" spans="2:10" s="95" customFormat="1">
      <c r="C188" s="674" t="s">
        <v>1174</v>
      </c>
      <c r="D188" s="668"/>
      <c r="E188" s="749"/>
      <c r="F188" s="749"/>
      <c r="G188" s="749">
        <f t="shared" si="15"/>
        <v>0</v>
      </c>
      <c r="H188" s="756"/>
      <c r="I188" s="756"/>
      <c r="J188" s="756">
        <f>SUM(H188:I188)</f>
        <v>0</v>
      </c>
    </row>
    <row r="189" spans="2:10" s="95" customFormat="1">
      <c r="C189" s="674" t="s">
        <v>1175</v>
      </c>
      <c r="D189" s="668"/>
      <c r="E189" s="749"/>
      <c r="F189" s="749"/>
      <c r="G189" s="749">
        <f t="shared" si="15"/>
        <v>0</v>
      </c>
      <c r="H189" s="756"/>
      <c r="I189" s="756"/>
      <c r="J189" s="756">
        <f>SUM(H189:I189)</f>
        <v>0</v>
      </c>
    </row>
    <row r="190" spans="2:10" s="95" customFormat="1" ht="25.5">
      <c r="B190" s="95" t="s">
        <v>880</v>
      </c>
      <c r="C190" s="659" t="s">
        <v>1176</v>
      </c>
      <c r="D190" s="548" t="s">
        <v>1043</v>
      </c>
      <c r="E190" s="754">
        <v>1600000</v>
      </c>
      <c r="F190" s="747"/>
      <c r="G190" s="747">
        <f t="shared" si="15"/>
        <v>1600000</v>
      </c>
      <c r="H190" s="757">
        <v>400000</v>
      </c>
      <c r="I190" s="757"/>
      <c r="J190" s="757">
        <f>SUM(H190:I190)</f>
        <v>400000</v>
      </c>
    </row>
    <row r="191" spans="2:10" s="95" customFormat="1">
      <c r="B191" s="95" t="s">
        <v>880</v>
      </c>
      <c r="C191" s="506" t="s">
        <v>1177</v>
      </c>
      <c r="D191" s="548" t="s">
        <v>1043</v>
      </c>
      <c r="E191" s="754">
        <v>550000</v>
      </c>
      <c r="F191" s="747"/>
      <c r="G191" s="747">
        <f t="shared" si="15"/>
        <v>550000</v>
      </c>
      <c r="H191" s="727">
        <v>100000</v>
      </c>
      <c r="I191" s="727"/>
      <c r="J191" s="727">
        <f>SUM(H191:I191)</f>
        <v>100000</v>
      </c>
    </row>
    <row r="192" spans="2:10" s="48" customFormat="1">
      <c r="B192" s="48" t="s">
        <v>879</v>
      </c>
      <c r="C192" s="552" t="s">
        <v>1178</v>
      </c>
      <c r="D192" s="548" t="s">
        <v>1043</v>
      </c>
      <c r="E192" s="754">
        <v>667000</v>
      </c>
      <c r="F192" s="754"/>
      <c r="G192" s="754">
        <f t="shared" si="15"/>
        <v>667000</v>
      </c>
      <c r="H192" s="507">
        <v>667000</v>
      </c>
      <c r="I192" s="507"/>
      <c r="J192" s="507">
        <f>SUM(H192:I192)</f>
        <v>667000</v>
      </c>
    </row>
    <row r="193" spans="1:10" s="48" customFormat="1">
      <c r="C193" s="732" t="s">
        <v>1179</v>
      </c>
      <c r="D193" s="661" t="s">
        <v>1042</v>
      </c>
      <c r="E193" s="733">
        <f>SUM(E194:E196,E199)</f>
        <v>16054000</v>
      </c>
      <c r="F193" s="733">
        <f>SUM(F194:F196,F199)</f>
        <v>37000</v>
      </c>
      <c r="G193" s="733">
        <f t="shared" si="15"/>
        <v>16091000</v>
      </c>
      <c r="H193" s="732">
        <f>SUM(H194:H196,H199)</f>
        <v>3743200</v>
      </c>
      <c r="I193" s="733">
        <f>SUM(I194:I196,I199,I200)</f>
        <v>8137000</v>
      </c>
      <c r="J193" s="732">
        <f>SUM(H193:I193)</f>
        <v>11880200</v>
      </c>
    </row>
    <row r="194" spans="1:10" s="95" customFormat="1">
      <c r="B194" s="95" t="s">
        <v>880</v>
      </c>
      <c r="C194" s="659" t="s">
        <v>1180</v>
      </c>
      <c r="D194" s="548" t="s">
        <v>1043</v>
      </c>
      <c r="E194" s="754">
        <v>2800000</v>
      </c>
      <c r="F194" s="747">
        <f>-316124-20000+101244</f>
        <v>-234880</v>
      </c>
      <c r="G194" s="747">
        <f t="shared" si="15"/>
        <v>2565120</v>
      </c>
      <c r="H194" s="757">
        <v>700000</v>
      </c>
      <c r="I194" s="727">
        <f>-316124-20000+101244</f>
        <v>-234880</v>
      </c>
      <c r="J194" s="757">
        <f>SUM(H194:I194)</f>
        <v>465120</v>
      </c>
    </row>
    <row r="195" spans="1:10" s="95" customFormat="1">
      <c r="A195" s="508" t="e">
        <f>#REF!</f>
        <v>#REF!</v>
      </c>
      <c r="B195" s="95" t="s">
        <v>880</v>
      </c>
      <c r="C195" s="506" t="s">
        <v>1181</v>
      </c>
      <c r="D195" s="548" t="s">
        <v>1043</v>
      </c>
      <c r="E195" s="759">
        <v>800000</v>
      </c>
      <c r="F195" s="759">
        <v>12000</v>
      </c>
      <c r="G195" s="759">
        <f t="shared" si="15"/>
        <v>812000</v>
      </c>
      <c r="H195" s="734">
        <v>200000</v>
      </c>
      <c r="I195" s="734">
        <v>12000</v>
      </c>
      <c r="J195" s="734">
        <f>SUM(H195:I195)</f>
        <v>212000</v>
      </c>
    </row>
    <row r="196" spans="1:10" s="48" customFormat="1">
      <c r="B196" s="48" t="s">
        <v>880</v>
      </c>
      <c r="C196" s="552" t="s">
        <v>644</v>
      </c>
      <c r="D196" s="548" t="s">
        <v>1042</v>
      </c>
      <c r="E196" s="760">
        <f>E197+E198</f>
        <v>400000</v>
      </c>
      <c r="F196" s="760">
        <f>F197</f>
        <v>259880</v>
      </c>
      <c r="G196" s="760">
        <f t="shared" si="15"/>
        <v>659880</v>
      </c>
      <c r="H196" s="507">
        <v>400000</v>
      </c>
      <c r="I196" s="757">
        <f>I197</f>
        <v>259880</v>
      </c>
      <c r="J196" s="507">
        <f>SUM(H196:I196)</f>
        <v>659880</v>
      </c>
    </row>
    <row r="197" spans="1:10" s="48" customFormat="1">
      <c r="C197" s="692" t="s">
        <v>1035</v>
      </c>
      <c r="D197" s="548" t="s">
        <v>1043</v>
      </c>
      <c r="E197" s="760">
        <v>200000</v>
      </c>
      <c r="F197" s="760">
        <f>284000+32124+20000-101244+25000</f>
        <v>259880</v>
      </c>
      <c r="G197" s="760">
        <f t="shared" si="15"/>
        <v>459880</v>
      </c>
      <c r="H197" s="507">
        <v>200000</v>
      </c>
      <c r="I197" s="757">
        <f>284000+32124+20000+25000-101244</f>
        <v>259880</v>
      </c>
      <c r="J197" s="507">
        <f>SUM(H197:I197)</f>
        <v>459880</v>
      </c>
    </row>
    <row r="198" spans="1:10" s="48" customFormat="1">
      <c r="C198" s="552"/>
      <c r="D198" s="548" t="s">
        <v>1044</v>
      </c>
      <c r="E198" s="760">
        <v>200000</v>
      </c>
      <c r="F198" s="760"/>
      <c r="G198" s="760">
        <f t="shared" si="15"/>
        <v>200000</v>
      </c>
      <c r="H198" s="507">
        <v>200000</v>
      </c>
      <c r="I198" s="507"/>
      <c r="J198" s="507">
        <f>SUM(H198:I198)</f>
        <v>200000</v>
      </c>
    </row>
    <row r="199" spans="1:10" s="95" customFormat="1">
      <c r="A199" s="644" t="e">
        <f>H199+#REF!</f>
        <v>#REF!</v>
      </c>
      <c r="B199" s="644" t="s">
        <v>880</v>
      </c>
      <c r="C199" s="506" t="s">
        <v>1182</v>
      </c>
      <c r="D199" s="548" t="s">
        <v>1043</v>
      </c>
      <c r="E199" s="754">
        <v>12054000</v>
      </c>
      <c r="F199" s="754"/>
      <c r="G199" s="754">
        <f t="shared" si="15"/>
        <v>12054000</v>
      </c>
      <c r="H199" s="507">
        <v>2443200</v>
      </c>
      <c r="I199" s="507"/>
      <c r="J199" s="507">
        <f>SUM(H199:I199)</f>
        <v>2443200</v>
      </c>
    </row>
    <row r="200" spans="1:10" s="95" customFormat="1" ht="25.5">
      <c r="A200" s="644">
        <f>I200</f>
        <v>8100000</v>
      </c>
      <c r="B200" s="644" t="s">
        <v>1183</v>
      </c>
      <c r="C200" s="550" t="s">
        <v>1184</v>
      </c>
      <c r="D200" s="548" t="s">
        <v>1043</v>
      </c>
      <c r="E200" s="758"/>
      <c r="F200" s="761" t="s">
        <v>1185</v>
      </c>
      <c r="G200" s="761"/>
      <c r="H200" s="507"/>
      <c r="I200" s="757">
        <v>8100000</v>
      </c>
      <c r="J200" s="507">
        <f>SUM(H200:I200)</f>
        <v>8100000</v>
      </c>
    </row>
    <row r="201" spans="1:10" s="95" customFormat="1" ht="12.75" customHeight="1">
      <c r="C201" s="660" t="s">
        <v>673</v>
      </c>
      <c r="D201" s="661" t="s">
        <v>1042</v>
      </c>
      <c r="E201" s="762">
        <f>E202</f>
        <v>500000</v>
      </c>
      <c r="F201" s="762">
        <f>F202+F206+F207</f>
        <v>260000</v>
      </c>
      <c r="G201" s="762">
        <f t="shared" si="15"/>
        <v>760000</v>
      </c>
      <c r="H201" s="732">
        <f>SUM(H202)</f>
        <v>250000</v>
      </c>
      <c r="I201" s="762">
        <f>I202+I206+I207</f>
        <v>260000</v>
      </c>
      <c r="J201" s="732">
        <f>SUM(H201:I201)</f>
        <v>510000</v>
      </c>
    </row>
    <row r="202" spans="1:10" s="95" customFormat="1" ht="25.5">
      <c r="B202" s="95" t="s">
        <v>881</v>
      </c>
      <c r="C202" s="550" t="s">
        <v>1186</v>
      </c>
      <c r="D202" s="548" t="s">
        <v>1042</v>
      </c>
      <c r="E202" s="754">
        <v>500000</v>
      </c>
      <c r="F202" s="754"/>
      <c r="G202" s="754">
        <f t="shared" si="15"/>
        <v>500000</v>
      </c>
      <c r="H202" s="507">
        <v>250000</v>
      </c>
      <c r="I202" s="754"/>
      <c r="J202" s="507">
        <f>SUM(H202:I202)</f>
        <v>250000</v>
      </c>
    </row>
    <row r="203" spans="1:10" s="95" customFormat="1">
      <c r="C203" s="692" t="s">
        <v>1035</v>
      </c>
      <c r="D203" s="548" t="s">
        <v>1043</v>
      </c>
      <c r="E203" s="763">
        <v>250000</v>
      </c>
      <c r="F203" s="763"/>
      <c r="G203" s="763">
        <f t="shared" si="15"/>
        <v>250000</v>
      </c>
      <c r="H203" s="549">
        <v>125000</v>
      </c>
      <c r="I203" s="763"/>
      <c r="J203" s="549">
        <f>SUM(H203:I203)</f>
        <v>125000</v>
      </c>
    </row>
    <row r="204" spans="1:10" s="95" customFormat="1" ht="12.75" customHeight="1">
      <c r="C204" s="697"/>
      <c r="D204" s="741" t="s">
        <v>1046</v>
      </c>
      <c r="E204" s="763">
        <v>250000</v>
      </c>
      <c r="F204" s="763"/>
      <c r="G204" s="763">
        <f t="shared" si="15"/>
        <v>250000</v>
      </c>
      <c r="H204" s="507">
        <v>125000</v>
      </c>
      <c r="I204" s="763"/>
      <c r="J204" s="507">
        <f>SUM(H204:I204)</f>
        <v>125000</v>
      </c>
    </row>
    <row r="205" spans="1:10" s="95" customFormat="1" ht="12.75" customHeight="1">
      <c r="C205" s="764" t="s">
        <v>121</v>
      </c>
      <c r="D205" s="743"/>
      <c r="E205" s="676">
        <v>30000</v>
      </c>
      <c r="F205" s="676"/>
      <c r="G205" s="676">
        <f t="shared" si="15"/>
        <v>30000</v>
      </c>
      <c r="H205" s="744">
        <v>15000</v>
      </c>
      <c r="I205" s="676"/>
      <c r="J205" s="744">
        <f>SUM(H205:I205)</f>
        <v>15000</v>
      </c>
    </row>
    <row r="206" spans="1:10" s="95" customFormat="1" ht="12.75" customHeight="1">
      <c r="B206" s="95" t="s">
        <v>1187</v>
      </c>
      <c r="C206" s="766" t="s">
        <v>1188</v>
      </c>
      <c r="D206" s="548" t="s">
        <v>1043</v>
      </c>
      <c r="E206" s="765"/>
      <c r="F206" s="549">
        <v>60000</v>
      </c>
      <c r="G206" s="763">
        <f t="shared" si="15"/>
        <v>60000</v>
      </c>
      <c r="H206" s="744"/>
      <c r="I206" s="549">
        <v>60000</v>
      </c>
      <c r="J206" s="507">
        <f>SUM(H206:I206)</f>
        <v>60000</v>
      </c>
    </row>
    <row r="207" spans="1:10" s="95" customFormat="1" ht="12.75" customHeight="1">
      <c r="B207" s="95" t="s">
        <v>1189</v>
      </c>
      <c r="C207" s="766" t="s">
        <v>1190</v>
      </c>
      <c r="D207" s="548" t="s">
        <v>1043</v>
      </c>
      <c r="E207" s="765"/>
      <c r="F207" s="549">
        <v>200000</v>
      </c>
      <c r="G207" s="763">
        <f t="shared" si="15"/>
        <v>200000</v>
      </c>
      <c r="H207" s="744"/>
      <c r="I207" s="549">
        <v>200000</v>
      </c>
      <c r="J207" s="507">
        <f>SUM(H207:I207)</f>
        <v>200000</v>
      </c>
    </row>
    <row r="208" spans="1:10" s="48" customFormat="1">
      <c r="C208" s="732" t="s">
        <v>674</v>
      </c>
      <c r="D208" s="661" t="s">
        <v>1042</v>
      </c>
      <c r="E208" s="733">
        <f>SUM(E209,E213,E214,E226,E229,E240,E241,E244,E245)</f>
        <v>14855927</v>
      </c>
      <c r="F208" s="733">
        <f>SUM(F209,F213,F214,F226,F229,F240,F241,F244,F245)</f>
        <v>269677</v>
      </c>
      <c r="G208" s="733">
        <f t="shared" si="15"/>
        <v>15125604</v>
      </c>
      <c r="H208" s="732">
        <f>SUM(H209,H213,H214,H226,H229,H240,H241,H244,H245)</f>
        <v>5714545</v>
      </c>
      <c r="I208" s="733">
        <f>SUM(I209,I213,I214,I226,I229,I240,I241,I244,I245)</f>
        <v>59677</v>
      </c>
      <c r="J208" s="732">
        <f>SUM(H208:I208)</f>
        <v>5774222</v>
      </c>
    </row>
    <row r="209" spans="2:10" s="95" customFormat="1">
      <c r="B209" s="48" t="s">
        <v>881</v>
      </c>
      <c r="C209" s="550" t="s">
        <v>675</v>
      </c>
      <c r="D209" s="548" t="s">
        <v>1042</v>
      </c>
      <c r="E209" s="507">
        <f>SUM(E210:E211)</f>
        <v>440600</v>
      </c>
      <c r="F209" s="507"/>
      <c r="G209" s="507">
        <f t="shared" si="15"/>
        <v>440600</v>
      </c>
      <c r="H209" s="507">
        <f>SUM(H210:H211)</f>
        <v>220000</v>
      </c>
      <c r="I209" s="507"/>
      <c r="J209" s="507">
        <f>SUM(H209:I209)</f>
        <v>220000</v>
      </c>
    </row>
    <row r="210" spans="2:10" s="95" customFormat="1">
      <c r="C210" s="767" t="s">
        <v>1035</v>
      </c>
      <c r="D210" s="548" t="s">
        <v>1043</v>
      </c>
      <c r="E210" s="763">
        <v>66090</v>
      </c>
      <c r="F210" s="763"/>
      <c r="G210" s="763">
        <f t="shared" si="15"/>
        <v>66090</v>
      </c>
      <c r="H210" s="549">
        <v>33000</v>
      </c>
      <c r="I210" s="549"/>
      <c r="J210" s="549">
        <f>SUM(H210:I210)</f>
        <v>33000</v>
      </c>
    </row>
    <row r="211" spans="2:10" s="95" customFormat="1" ht="12.75" customHeight="1">
      <c r="C211" s="768"/>
      <c r="D211" s="741" t="s">
        <v>1046</v>
      </c>
      <c r="E211" s="763">
        <v>374510</v>
      </c>
      <c r="F211" s="763"/>
      <c r="G211" s="763">
        <f t="shared" si="15"/>
        <v>374510</v>
      </c>
      <c r="H211" s="549">
        <v>187000</v>
      </c>
      <c r="I211" s="507"/>
      <c r="J211" s="549">
        <f>SUM(H211:I211)</f>
        <v>187000</v>
      </c>
    </row>
    <row r="212" spans="2:10" s="95" customFormat="1" ht="12.75" customHeight="1">
      <c r="C212" s="742" t="s">
        <v>121</v>
      </c>
      <c r="D212" s="741"/>
      <c r="E212" s="763"/>
      <c r="F212" s="761" t="s">
        <v>1185</v>
      </c>
      <c r="G212" s="761"/>
      <c r="H212" s="549"/>
      <c r="I212" s="756">
        <v>18700</v>
      </c>
      <c r="J212" s="756">
        <f>SUM(H212:I212)</f>
        <v>18700</v>
      </c>
    </row>
    <row r="213" spans="2:10" s="95" customFormat="1">
      <c r="B213" s="95" t="s">
        <v>881</v>
      </c>
      <c r="C213" s="506" t="s">
        <v>1191</v>
      </c>
      <c r="D213" s="548" t="s">
        <v>1043</v>
      </c>
      <c r="E213" s="754">
        <v>6832409</v>
      </c>
      <c r="F213" s="754"/>
      <c r="G213" s="754">
        <f t="shared" si="15"/>
        <v>6832409</v>
      </c>
      <c r="H213" s="507">
        <v>2116595</v>
      </c>
      <c r="I213" s="507"/>
      <c r="J213" s="507">
        <f>SUM(H213:I213)</f>
        <v>2116595</v>
      </c>
    </row>
    <row r="214" spans="2:10" s="95" customFormat="1">
      <c r="B214" s="95" t="s">
        <v>881</v>
      </c>
      <c r="C214" s="506" t="s">
        <v>1192</v>
      </c>
      <c r="D214" s="548" t="s">
        <v>1043</v>
      </c>
      <c r="E214" s="734">
        <v>4573500</v>
      </c>
      <c r="F214" s="734">
        <f>SUM(F215:F225)</f>
        <v>90000</v>
      </c>
      <c r="G214" s="734">
        <f t="shared" si="15"/>
        <v>4663500</v>
      </c>
      <c r="H214" s="734">
        <v>1602700</v>
      </c>
      <c r="I214" s="734">
        <f>SUM(I215:I225)</f>
        <v>-120000</v>
      </c>
      <c r="J214" s="734">
        <f>SUM(H214:I214)</f>
        <v>1482700</v>
      </c>
    </row>
    <row r="215" spans="2:10" s="95" customFormat="1">
      <c r="C215" s="696" t="s">
        <v>1193</v>
      </c>
      <c r="D215" s="672"/>
      <c r="E215" s="673"/>
      <c r="F215" s="673"/>
      <c r="G215" s="673">
        <f t="shared" si="15"/>
        <v>0</v>
      </c>
      <c r="H215" s="744"/>
      <c r="I215" s="673"/>
      <c r="J215" s="744">
        <f>SUM(H215:I215)</f>
        <v>0</v>
      </c>
    </row>
    <row r="216" spans="2:10" s="95" customFormat="1">
      <c r="C216" s="674" t="s">
        <v>1194</v>
      </c>
      <c r="D216" s="672"/>
      <c r="E216" s="744"/>
      <c r="F216" s="744"/>
      <c r="G216" s="744">
        <f t="shared" si="15"/>
        <v>0</v>
      </c>
      <c r="H216" s="744"/>
      <c r="I216" s="744"/>
      <c r="J216" s="744">
        <f>SUM(H216:I216)</f>
        <v>0</v>
      </c>
    </row>
    <row r="217" spans="2:10" s="95" customFormat="1" ht="12.75" customHeight="1">
      <c r="C217" s="679" t="s">
        <v>1195</v>
      </c>
      <c r="D217" s="668"/>
      <c r="E217" s="739"/>
      <c r="F217" s="739"/>
      <c r="G217" s="739">
        <f t="shared" si="15"/>
        <v>0</v>
      </c>
      <c r="H217" s="739"/>
      <c r="I217" s="739"/>
      <c r="J217" s="739">
        <f>SUM(H217:I217)</f>
        <v>0</v>
      </c>
    </row>
    <row r="218" spans="2:10" s="95" customFormat="1">
      <c r="C218" s="667" t="s">
        <v>1196</v>
      </c>
      <c r="D218" s="672"/>
      <c r="E218" s="744"/>
      <c r="F218" s="744">
        <v>-160000</v>
      </c>
      <c r="G218" s="744">
        <f t="shared" si="15"/>
        <v>-160000</v>
      </c>
      <c r="H218" s="744"/>
      <c r="I218" s="744">
        <v>-160000</v>
      </c>
      <c r="J218" s="744">
        <f>SUM(H218:I218)</f>
        <v>-160000</v>
      </c>
    </row>
    <row r="219" spans="2:10" s="95" customFormat="1">
      <c r="C219" s="667" t="s">
        <v>1197</v>
      </c>
      <c r="D219" s="668"/>
      <c r="E219" s="669"/>
      <c r="F219" s="669"/>
      <c r="G219" s="669">
        <f t="shared" si="15"/>
        <v>0</v>
      </c>
      <c r="H219" s="739"/>
      <c r="I219" s="669"/>
      <c r="J219" s="739">
        <f>SUM(H219:I219)</f>
        <v>0</v>
      </c>
    </row>
    <row r="220" spans="2:10" s="95" customFormat="1">
      <c r="C220" s="667" t="s">
        <v>1198</v>
      </c>
      <c r="D220" s="668"/>
      <c r="E220" s="669"/>
      <c r="F220" s="669"/>
      <c r="G220" s="669">
        <f t="shared" si="15"/>
        <v>0</v>
      </c>
      <c r="H220" s="739"/>
      <c r="I220" s="669"/>
      <c r="J220" s="739">
        <f>SUM(H220:I220)</f>
        <v>0</v>
      </c>
    </row>
    <row r="221" spans="2:10" s="95" customFormat="1">
      <c r="C221" s="769" t="s">
        <v>1199</v>
      </c>
      <c r="D221" s="770"/>
      <c r="E221" s="771"/>
      <c r="F221" s="771"/>
      <c r="G221" s="771">
        <f t="shared" si="15"/>
        <v>0</v>
      </c>
      <c r="H221" s="772"/>
      <c r="I221" s="771"/>
      <c r="J221" s="772">
        <f>SUM(H221:I221)</f>
        <v>0</v>
      </c>
    </row>
    <row r="222" spans="2:10" s="95" customFormat="1">
      <c r="C222" s="667" t="s">
        <v>1200</v>
      </c>
      <c r="D222" s="668"/>
      <c r="E222" s="669"/>
      <c r="F222" s="669"/>
      <c r="G222" s="669">
        <f t="shared" si="15"/>
        <v>0</v>
      </c>
      <c r="H222" s="739"/>
      <c r="I222" s="669"/>
      <c r="J222" s="739">
        <f>SUM(H222:I222)</f>
        <v>0</v>
      </c>
    </row>
    <row r="223" spans="2:10" s="95" customFormat="1">
      <c r="C223" s="667" t="s">
        <v>1201</v>
      </c>
      <c r="D223" s="668"/>
      <c r="E223" s="669"/>
      <c r="F223" s="669"/>
      <c r="G223" s="669">
        <f t="shared" si="15"/>
        <v>0</v>
      </c>
      <c r="H223" s="739"/>
      <c r="I223" s="669"/>
      <c r="J223" s="739">
        <f>SUM(H223:I223)</f>
        <v>0</v>
      </c>
    </row>
    <row r="224" spans="2:10" s="95" customFormat="1">
      <c r="C224" s="667" t="s">
        <v>1202</v>
      </c>
      <c r="D224" s="668"/>
      <c r="E224" s="669"/>
      <c r="F224" s="669"/>
      <c r="G224" s="669">
        <f t="shared" si="15"/>
        <v>0</v>
      </c>
      <c r="H224" s="739"/>
      <c r="I224" s="669"/>
      <c r="J224" s="739">
        <f>SUM(H224:I224)</f>
        <v>0</v>
      </c>
    </row>
    <row r="225" spans="2:10" s="95" customFormat="1">
      <c r="C225" s="674" t="s">
        <v>1203</v>
      </c>
      <c r="D225" s="668"/>
      <c r="E225" s="669"/>
      <c r="F225" s="669">
        <v>250000</v>
      </c>
      <c r="G225" s="669">
        <f t="shared" si="15"/>
        <v>250000</v>
      </c>
      <c r="H225" s="739"/>
      <c r="I225" s="669">
        <v>40000</v>
      </c>
      <c r="J225" s="744">
        <f>SUM(H225:I225)</f>
        <v>40000</v>
      </c>
    </row>
    <row r="226" spans="2:10" s="95" customFormat="1">
      <c r="B226" s="95" t="s">
        <v>352</v>
      </c>
      <c r="C226" s="659" t="s">
        <v>1204</v>
      </c>
      <c r="D226" s="548" t="s">
        <v>1043</v>
      </c>
      <c r="E226" s="754">
        <v>699000</v>
      </c>
      <c r="F226" s="754">
        <v>-1000</v>
      </c>
      <c r="G226" s="754">
        <f t="shared" si="15"/>
        <v>698000</v>
      </c>
      <c r="H226" s="507">
        <v>200250</v>
      </c>
      <c r="I226" s="754">
        <v>-1000</v>
      </c>
      <c r="J226" s="507">
        <f>SUM(H226:I226)</f>
        <v>199250</v>
      </c>
    </row>
    <row r="227" spans="2:10" s="95" customFormat="1">
      <c r="C227" s="696" t="s">
        <v>1205</v>
      </c>
      <c r="D227" s="668"/>
      <c r="E227" s="744"/>
      <c r="F227" s="744"/>
      <c r="G227" s="744">
        <f t="shared" si="15"/>
        <v>0</v>
      </c>
      <c r="H227" s="744"/>
      <c r="I227" s="744"/>
      <c r="J227" s="744">
        <f>SUM(H227:I227)</f>
        <v>0</v>
      </c>
    </row>
    <row r="228" spans="2:10" s="95" customFormat="1">
      <c r="C228" s="667" t="s">
        <v>1206</v>
      </c>
      <c r="D228" s="668"/>
      <c r="E228" s="669"/>
      <c r="F228" s="669"/>
      <c r="G228" s="669">
        <f t="shared" si="15"/>
        <v>0</v>
      </c>
      <c r="H228" s="739"/>
      <c r="I228" s="669"/>
      <c r="J228" s="739">
        <f>SUM(H228:I228)</f>
        <v>0</v>
      </c>
    </row>
    <row r="229" spans="2:10" s="95" customFormat="1">
      <c r="B229" s="95" t="s">
        <v>352</v>
      </c>
      <c r="C229" s="659" t="s">
        <v>1207</v>
      </c>
      <c r="D229" s="548" t="s">
        <v>1042</v>
      </c>
      <c r="E229" s="757">
        <f>SUM(E230:E230)</f>
        <v>455000</v>
      </c>
      <c r="F229" s="757">
        <f>SUM(F230:F230)</f>
        <v>1000</v>
      </c>
      <c r="G229" s="757">
        <f t="shared" si="15"/>
        <v>456000</v>
      </c>
      <c r="H229" s="757">
        <f>SUM(H230:H230)</f>
        <v>405000</v>
      </c>
      <c r="I229" s="757">
        <f>SUM(I230:I230)</f>
        <v>1000</v>
      </c>
      <c r="J229" s="757">
        <f>SUM(H229:I229)</f>
        <v>406000</v>
      </c>
    </row>
    <row r="230" spans="2:10" s="95" customFormat="1">
      <c r="C230" s="692" t="s">
        <v>1035</v>
      </c>
      <c r="D230" s="548" t="s">
        <v>1043</v>
      </c>
      <c r="E230" s="757">
        <v>455000</v>
      </c>
      <c r="F230" s="757">
        <v>1000</v>
      </c>
      <c r="G230" s="757">
        <f t="shared" si="15"/>
        <v>456000</v>
      </c>
      <c r="H230" s="757">
        <f>370000+35000</f>
        <v>405000</v>
      </c>
      <c r="I230" s="757">
        <v>1000</v>
      </c>
      <c r="J230" s="757">
        <f>SUM(H230:I230)</f>
        <v>406000</v>
      </c>
    </row>
    <row r="231" spans="2:10" s="95" customFormat="1">
      <c r="C231" s="696" t="s">
        <v>1208</v>
      </c>
      <c r="D231" s="668"/>
      <c r="E231" s="739"/>
      <c r="F231" s="739"/>
      <c r="G231" s="739">
        <f t="shared" si="15"/>
        <v>0</v>
      </c>
      <c r="H231" s="739"/>
      <c r="I231" s="739"/>
      <c r="J231" s="739">
        <f>SUM(H231:I231)</f>
        <v>0</v>
      </c>
    </row>
    <row r="232" spans="2:10" s="95" customFormat="1">
      <c r="C232" s="667" t="s">
        <v>1209</v>
      </c>
      <c r="D232" s="668"/>
      <c r="E232" s="739"/>
      <c r="F232" s="739"/>
      <c r="G232" s="739">
        <f t="shared" si="15"/>
        <v>0</v>
      </c>
      <c r="H232" s="739"/>
      <c r="I232" s="739"/>
      <c r="J232" s="739">
        <f>SUM(H232:I232)</f>
        <v>0</v>
      </c>
    </row>
    <row r="233" spans="2:10" s="95" customFormat="1">
      <c r="C233" s="667" t="s">
        <v>1210</v>
      </c>
      <c r="D233" s="668"/>
      <c r="E233" s="739"/>
      <c r="F233" s="739"/>
      <c r="G233" s="739">
        <f t="shared" ref="G233:G276" si="16">E233+F233</f>
        <v>0</v>
      </c>
      <c r="H233" s="739"/>
      <c r="I233" s="739"/>
      <c r="J233" s="739">
        <f>SUM(H233:I233)</f>
        <v>0</v>
      </c>
    </row>
    <row r="234" spans="2:10" s="95" customFormat="1">
      <c r="C234" s="667" t="s">
        <v>1211</v>
      </c>
      <c r="D234" s="668"/>
      <c r="E234" s="739"/>
      <c r="F234" s="739"/>
      <c r="G234" s="739">
        <f t="shared" si="16"/>
        <v>0</v>
      </c>
      <c r="H234" s="739"/>
      <c r="I234" s="739"/>
      <c r="J234" s="739">
        <f>SUM(H234:I234)</f>
        <v>0</v>
      </c>
    </row>
    <row r="235" spans="2:10" s="95" customFormat="1" ht="22.5">
      <c r="C235" s="667" t="s">
        <v>1212</v>
      </c>
      <c r="D235" s="668"/>
      <c r="E235" s="739"/>
      <c r="F235" s="739"/>
      <c r="G235" s="739">
        <f t="shared" si="16"/>
        <v>0</v>
      </c>
      <c r="H235" s="739"/>
      <c r="I235" s="739"/>
      <c r="J235" s="739">
        <f>SUM(H235:I235)</f>
        <v>0</v>
      </c>
    </row>
    <row r="236" spans="2:10" s="95" customFormat="1">
      <c r="C236" s="667" t="s">
        <v>1213</v>
      </c>
      <c r="D236" s="672"/>
      <c r="E236" s="744"/>
      <c r="F236" s="744"/>
      <c r="G236" s="744">
        <f t="shared" si="16"/>
        <v>0</v>
      </c>
      <c r="H236" s="744"/>
      <c r="I236" s="744"/>
      <c r="J236" s="744">
        <f>SUM(H236:I236)</f>
        <v>0</v>
      </c>
    </row>
    <row r="237" spans="2:10" s="95" customFormat="1">
      <c r="C237" s="667" t="s">
        <v>1214</v>
      </c>
      <c r="D237" s="672"/>
      <c r="E237" s="744"/>
      <c r="F237" s="744"/>
      <c r="G237" s="744">
        <f t="shared" si="16"/>
        <v>0</v>
      </c>
      <c r="H237" s="744"/>
      <c r="I237" s="744"/>
      <c r="J237" s="744">
        <f>SUM(H237:I237)</f>
        <v>0</v>
      </c>
    </row>
    <row r="238" spans="2:10" s="95" customFormat="1">
      <c r="C238" s="667" t="s">
        <v>1215</v>
      </c>
      <c r="D238" s="668"/>
      <c r="E238" s="739"/>
      <c r="F238" s="739"/>
      <c r="G238" s="739">
        <f t="shared" si="16"/>
        <v>0</v>
      </c>
      <c r="H238" s="739"/>
      <c r="I238" s="739"/>
      <c r="J238" s="739">
        <f>SUM(H238:I238)</f>
        <v>0</v>
      </c>
    </row>
    <row r="239" spans="2:10" s="95" customFormat="1">
      <c r="C239" s="674" t="s">
        <v>1216</v>
      </c>
      <c r="D239" s="668"/>
      <c r="E239" s="669"/>
      <c r="F239" s="669"/>
      <c r="G239" s="669">
        <f t="shared" si="16"/>
        <v>0</v>
      </c>
      <c r="H239" s="739"/>
      <c r="I239" s="739"/>
      <c r="J239" s="739">
        <f>SUM(H239:I239)</f>
        <v>0</v>
      </c>
    </row>
    <row r="240" spans="2:10" s="95" customFormat="1">
      <c r="B240" s="95" t="s">
        <v>352</v>
      </c>
      <c r="C240" s="659" t="s">
        <v>1217</v>
      </c>
      <c r="D240" s="548" t="s">
        <v>1043</v>
      </c>
      <c r="E240" s="754">
        <v>70000</v>
      </c>
      <c r="F240" s="754"/>
      <c r="G240" s="754">
        <f t="shared" si="16"/>
        <v>70000</v>
      </c>
      <c r="H240" s="507">
        <v>70000</v>
      </c>
      <c r="I240" s="507"/>
      <c r="J240" s="507">
        <f>SUM(H240:I240)</f>
        <v>70000</v>
      </c>
    </row>
    <row r="241" spans="1:10" s="95" customFormat="1">
      <c r="B241" s="95" t="s">
        <v>352</v>
      </c>
      <c r="C241" s="659" t="s">
        <v>1218</v>
      </c>
      <c r="D241" s="548" t="s">
        <v>1043</v>
      </c>
      <c r="E241" s="754">
        <v>285825</v>
      </c>
      <c r="F241" s="754"/>
      <c r="G241" s="754">
        <f t="shared" si="16"/>
        <v>285825</v>
      </c>
      <c r="H241" s="507">
        <v>250000</v>
      </c>
      <c r="I241" s="507"/>
      <c r="J241" s="507">
        <f>SUM(H241:I241)</f>
        <v>250000</v>
      </c>
    </row>
    <row r="242" spans="1:10" s="48" customFormat="1">
      <c r="C242" s="696" t="s">
        <v>1219</v>
      </c>
      <c r="D242" s="668"/>
      <c r="E242" s="669"/>
      <c r="F242" s="669"/>
      <c r="G242" s="669">
        <f t="shared" si="16"/>
        <v>0</v>
      </c>
      <c r="H242" s="744"/>
      <c r="I242" s="744"/>
      <c r="J242" s="744">
        <f>SUM(H242:I242)</f>
        <v>0</v>
      </c>
    </row>
    <row r="243" spans="1:10" s="95" customFormat="1">
      <c r="C243" s="667" t="s">
        <v>1220</v>
      </c>
      <c r="D243" s="668"/>
      <c r="E243" s="739"/>
      <c r="F243" s="739"/>
      <c r="G243" s="739">
        <f t="shared" si="16"/>
        <v>0</v>
      </c>
      <c r="H243" s="739"/>
      <c r="I243" s="739"/>
      <c r="J243" s="739">
        <f>SUM(H243:I243)</f>
        <v>0</v>
      </c>
    </row>
    <row r="244" spans="1:10" s="95" customFormat="1">
      <c r="B244" s="95" t="s">
        <v>881</v>
      </c>
      <c r="C244" s="506" t="s">
        <v>1221</v>
      </c>
      <c r="D244" s="548" t="s">
        <v>1043</v>
      </c>
      <c r="E244" s="734">
        <f>300000+150000</f>
        <v>450000</v>
      </c>
      <c r="F244" s="734"/>
      <c r="G244" s="734">
        <f t="shared" si="16"/>
        <v>450000</v>
      </c>
      <c r="H244" s="734">
        <f>300000+150000</f>
        <v>450000</v>
      </c>
      <c r="I244" s="734"/>
      <c r="J244" s="734">
        <f>SUM(H244:I244)</f>
        <v>450000</v>
      </c>
    </row>
    <row r="245" spans="1:10" s="95" customFormat="1">
      <c r="A245" s="644" t="e">
        <f>H245+#REF!+I245</f>
        <v>#REF!</v>
      </c>
      <c r="B245" s="644" t="s">
        <v>352</v>
      </c>
      <c r="C245" s="773" t="s">
        <v>1222</v>
      </c>
      <c r="D245" s="774" t="s">
        <v>1042</v>
      </c>
      <c r="E245" s="775">
        <f>SUM(E246:E247)</f>
        <v>1049593</v>
      </c>
      <c r="F245" s="775">
        <f>SUM(F247:F247)</f>
        <v>179677</v>
      </c>
      <c r="G245" s="775">
        <f t="shared" si="16"/>
        <v>1229270</v>
      </c>
      <c r="H245" s="775">
        <f>SUM(H246:H247)</f>
        <v>400000</v>
      </c>
      <c r="I245" s="775">
        <f>SUM(I247:I247)</f>
        <v>179677</v>
      </c>
      <c r="J245" s="775">
        <f>SUM(H245:I245)</f>
        <v>579677</v>
      </c>
    </row>
    <row r="246" spans="1:10" s="95" customFormat="1">
      <c r="C246" s="692" t="s">
        <v>1035</v>
      </c>
      <c r="D246" s="548" t="s">
        <v>1043</v>
      </c>
      <c r="E246" s="775">
        <v>100000</v>
      </c>
      <c r="F246" s="775">
        <v>0</v>
      </c>
      <c r="G246" s="775">
        <f t="shared" si="16"/>
        <v>100000</v>
      </c>
      <c r="H246" s="775">
        <v>100000</v>
      </c>
      <c r="I246" s="775">
        <v>0</v>
      </c>
      <c r="J246" s="775">
        <f>SUM(H246:I246)</f>
        <v>100000</v>
      </c>
    </row>
    <row r="247" spans="1:10" s="95" customFormat="1">
      <c r="C247" s="552"/>
      <c r="D247" s="776" t="s">
        <v>1045</v>
      </c>
      <c r="E247" s="775">
        <v>949593</v>
      </c>
      <c r="F247" s="775">
        <v>179677</v>
      </c>
      <c r="G247" s="775">
        <f t="shared" si="16"/>
        <v>1129270</v>
      </c>
      <c r="H247" s="775">
        <v>300000</v>
      </c>
      <c r="I247" s="775">
        <v>179677</v>
      </c>
      <c r="J247" s="775">
        <f>SUM(H247:I247)</f>
        <v>479677</v>
      </c>
    </row>
    <row r="248" spans="1:10" s="777" customFormat="1" ht="12.75" customHeight="1">
      <c r="C248" s="778" t="s">
        <v>1223</v>
      </c>
      <c r="D248" s="770"/>
      <c r="E248" s="779"/>
      <c r="F248" s="779"/>
      <c r="G248" s="779">
        <f t="shared" si="16"/>
        <v>0</v>
      </c>
      <c r="H248" s="779"/>
      <c r="I248" s="779"/>
      <c r="J248" s="779">
        <f>SUM(H248:I248)</f>
        <v>0</v>
      </c>
    </row>
    <row r="249" spans="1:10" s="95" customFormat="1">
      <c r="C249" s="780" t="s">
        <v>1224</v>
      </c>
      <c r="D249" s="781"/>
      <c r="E249" s="779"/>
      <c r="F249" s="779"/>
      <c r="G249" s="779">
        <f t="shared" si="16"/>
        <v>0</v>
      </c>
      <c r="H249" s="779"/>
      <c r="I249" s="779"/>
      <c r="J249" s="779">
        <f>SUM(H249:I249)</f>
        <v>0</v>
      </c>
    </row>
    <row r="250" spans="1:10" s="95" customFormat="1">
      <c r="C250" s="782" t="s">
        <v>776</v>
      </c>
      <c r="D250" s="783" t="s">
        <v>1042</v>
      </c>
      <c r="E250" s="732">
        <f>E251</f>
        <v>126950</v>
      </c>
      <c r="F250" s="732">
        <f>F251+F254</f>
        <v>170000</v>
      </c>
      <c r="G250" s="732">
        <f t="shared" si="16"/>
        <v>296950</v>
      </c>
      <c r="H250" s="732">
        <f>H251</f>
        <v>21000</v>
      </c>
      <c r="I250" s="732">
        <f>I251+I254</f>
        <v>25000</v>
      </c>
      <c r="J250" s="732">
        <f>SUM(H250:I250)</f>
        <v>46000</v>
      </c>
    </row>
    <row r="251" spans="1:10" s="95" customFormat="1" ht="25.5">
      <c r="B251" s="95" t="s">
        <v>352</v>
      </c>
      <c r="C251" s="785" t="s">
        <v>1225</v>
      </c>
      <c r="D251" s="691" t="s">
        <v>1042</v>
      </c>
      <c r="E251" s="775">
        <f>E252+E253</f>
        <v>126950</v>
      </c>
      <c r="F251" s="775"/>
      <c r="G251" s="775">
        <f t="shared" si="16"/>
        <v>126950</v>
      </c>
      <c r="H251" s="775">
        <f>H252+H253</f>
        <v>21000</v>
      </c>
      <c r="I251" s="775"/>
      <c r="J251" s="775">
        <f>SUM(H251:I251)</f>
        <v>21000</v>
      </c>
    </row>
    <row r="252" spans="1:10" s="95" customFormat="1">
      <c r="C252" s="786" t="s">
        <v>1035</v>
      </c>
      <c r="D252" s="691" t="s">
        <v>1043</v>
      </c>
      <c r="E252" s="787">
        <v>19043</v>
      </c>
      <c r="F252" s="787"/>
      <c r="G252" s="787">
        <f t="shared" si="16"/>
        <v>19043</v>
      </c>
      <c r="H252" s="775">
        <v>3150</v>
      </c>
      <c r="I252" s="775"/>
      <c r="J252" s="775">
        <f>SUM(H252:I252)</f>
        <v>3150</v>
      </c>
    </row>
    <row r="253" spans="1:10" s="95" customFormat="1">
      <c r="C253" s="766"/>
      <c r="D253" s="720" t="s">
        <v>1046</v>
      </c>
      <c r="E253" s="787">
        <v>107907</v>
      </c>
      <c r="F253" s="787"/>
      <c r="G253" s="787">
        <f t="shared" si="16"/>
        <v>107907</v>
      </c>
      <c r="H253" s="775">
        <v>17850</v>
      </c>
      <c r="I253" s="775"/>
      <c r="J253" s="775">
        <f>SUM(H253:I253)</f>
        <v>17850</v>
      </c>
    </row>
    <row r="254" spans="1:10" s="95" customFormat="1" ht="24">
      <c r="B254" s="95" t="s">
        <v>352</v>
      </c>
      <c r="C254" s="788" t="s">
        <v>1226</v>
      </c>
      <c r="D254" s="789" t="s">
        <v>1042</v>
      </c>
      <c r="E254" s="787"/>
      <c r="F254" s="721">
        <f t="shared" ref="F254" si="17">SUM(F255:F256)</f>
        <v>170000</v>
      </c>
      <c r="G254" s="787">
        <f t="shared" si="16"/>
        <v>170000</v>
      </c>
      <c r="H254" s="775"/>
      <c r="I254" s="721">
        <f>SUM(I255:I256)</f>
        <v>25000</v>
      </c>
      <c r="J254" s="775">
        <f>SUM(H254:I254)</f>
        <v>25000</v>
      </c>
    </row>
    <row r="255" spans="1:10" s="95" customFormat="1">
      <c r="C255" s="767" t="s">
        <v>1035</v>
      </c>
      <c r="D255" s="691" t="s">
        <v>1043</v>
      </c>
      <c r="E255" s="787"/>
      <c r="F255" s="721">
        <v>26520</v>
      </c>
      <c r="G255" s="787">
        <f t="shared" si="16"/>
        <v>26520</v>
      </c>
      <c r="H255" s="775"/>
      <c r="I255" s="721">
        <v>3900</v>
      </c>
      <c r="J255" s="775">
        <f>SUM(H255:I255)</f>
        <v>3900</v>
      </c>
    </row>
    <row r="256" spans="1:10" s="95" customFormat="1">
      <c r="C256" s="790"/>
      <c r="D256" s="720" t="s">
        <v>1046</v>
      </c>
      <c r="E256" s="787"/>
      <c r="F256" s="721">
        <v>143480</v>
      </c>
      <c r="G256" s="787">
        <f t="shared" si="16"/>
        <v>143480</v>
      </c>
      <c r="H256" s="775"/>
      <c r="I256" s="721">
        <v>21100</v>
      </c>
      <c r="J256" s="775">
        <f>SUM(H256:I256)</f>
        <v>21100</v>
      </c>
    </row>
    <row r="257" spans="1:10" s="95" customFormat="1">
      <c r="C257" s="661" t="s">
        <v>676</v>
      </c>
      <c r="D257" s="661" t="s">
        <v>1042</v>
      </c>
      <c r="E257" s="733">
        <f>SUM(E258,E263,E265,E266)</f>
        <v>98496367</v>
      </c>
      <c r="F257" s="733">
        <f>SUM(F258,F263,F265,F266)</f>
        <v>-305000</v>
      </c>
      <c r="G257" s="733">
        <f t="shared" si="16"/>
        <v>98191367</v>
      </c>
      <c r="H257" s="732">
        <f>SUM(H258,H263,H265,H266)</f>
        <v>5103000</v>
      </c>
      <c r="I257" s="733">
        <f>SUM(I258,I263,I265,I266)</f>
        <v>-305000</v>
      </c>
      <c r="J257" s="732">
        <f>SUM(H257:I257)</f>
        <v>4798000</v>
      </c>
    </row>
    <row r="258" spans="1:10" s="48" customFormat="1">
      <c r="B258" s="48" t="s">
        <v>879</v>
      </c>
      <c r="C258" s="552" t="s">
        <v>1227</v>
      </c>
      <c r="D258" s="774" t="s">
        <v>1042</v>
      </c>
      <c r="E258" s="507">
        <f>SUM(E259:E260)</f>
        <v>12096367</v>
      </c>
      <c r="F258" s="507"/>
      <c r="G258" s="507">
        <f t="shared" si="16"/>
        <v>12096367</v>
      </c>
      <c r="H258" s="507">
        <f>SUM(H259:H260)</f>
        <v>3653000</v>
      </c>
      <c r="I258" s="507">
        <v>0</v>
      </c>
      <c r="J258" s="507">
        <f>SUM(H258:I258)</f>
        <v>3653000</v>
      </c>
    </row>
    <row r="259" spans="1:10" s="48" customFormat="1">
      <c r="C259" s="692" t="s">
        <v>1035</v>
      </c>
      <c r="D259" s="548" t="s">
        <v>1043</v>
      </c>
      <c r="E259" s="507">
        <v>10896367</v>
      </c>
      <c r="F259" s="507"/>
      <c r="G259" s="507">
        <f t="shared" si="16"/>
        <v>10896367</v>
      </c>
      <c r="H259" s="507">
        <v>3293000</v>
      </c>
      <c r="I259" s="507">
        <v>-436337</v>
      </c>
      <c r="J259" s="507">
        <f>SUM(H259:I259)</f>
        <v>2856663</v>
      </c>
    </row>
    <row r="260" spans="1:10" s="30" customFormat="1" ht="12.75" customHeight="1">
      <c r="C260" s="552"/>
      <c r="D260" s="741" t="s">
        <v>1046</v>
      </c>
      <c r="E260" s="507">
        <v>1200000</v>
      </c>
      <c r="F260" s="507"/>
      <c r="G260" s="507">
        <f t="shared" si="16"/>
        <v>1200000</v>
      </c>
      <c r="H260" s="507">
        <v>360000</v>
      </c>
      <c r="I260" s="507">
        <v>436337</v>
      </c>
      <c r="J260" s="507">
        <f>SUM(H260:I260)</f>
        <v>796337</v>
      </c>
    </row>
    <row r="261" spans="1:10" s="48" customFormat="1">
      <c r="C261" s="748" t="s">
        <v>1228</v>
      </c>
      <c r="D261" s="668"/>
      <c r="E261" s="668"/>
      <c r="F261" s="668"/>
      <c r="G261" s="668">
        <f t="shared" si="16"/>
        <v>0</v>
      </c>
      <c r="H261" s="668"/>
      <c r="I261" s="668"/>
      <c r="J261" s="668">
        <f>SUM(H261:I261)</f>
        <v>0</v>
      </c>
    </row>
    <row r="262" spans="1:10" s="48" customFormat="1">
      <c r="C262" s="674" t="s">
        <v>1229</v>
      </c>
      <c r="D262" s="668"/>
      <c r="E262" s="668"/>
      <c r="F262" s="668"/>
      <c r="G262" s="668">
        <f t="shared" si="16"/>
        <v>0</v>
      </c>
      <c r="H262" s="668"/>
      <c r="I262" s="668"/>
      <c r="J262" s="668">
        <f>SUM(H262:I262)</f>
        <v>0</v>
      </c>
    </row>
    <row r="263" spans="1:10" s="48" customFormat="1">
      <c r="B263" s="48" t="s">
        <v>879</v>
      </c>
      <c r="C263" s="552" t="s">
        <v>1230</v>
      </c>
      <c r="D263" s="548" t="s">
        <v>1043</v>
      </c>
      <c r="E263" s="754">
        <v>7500000</v>
      </c>
      <c r="F263" s="754"/>
      <c r="G263" s="754">
        <f t="shared" si="16"/>
        <v>7500000</v>
      </c>
      <c r="H263" s="507">
        <v>400000</v>
      </c>
      <c r="I263" s="507"/>
      <c r="J263" s="507">
        <f>SUM(H263:I263)</f>
        <v>400000</v>
      </c>
    </row>
    <row r="264" spans="1:10" s="48" customFormat="1" ht="12.6" customHeight="1">
      <c r="C264" s="791" t="s">
        <v>1231</v>
      </c>
      <c r="D264" s="668"/>
      <c r="E264" s="673"/>
      <c r="F264" s="673"/>
      <c r="G264" s="673">
        <f t="shared" si="16"/>
        <v>0</v>
      </c>
      <c r="H264" s="744"/>
      <c r="I264" s="744"/>
      <c r="J264" s="744">
        <f>SUM(H264:I264)</f>
        <v>0</v>
      </c>
    </row>
    <row r="265" spans="1:10" s="95" customFormat="1">
      <c r="B265" s="95" t="s">
        <v>879</v>
      </c>
      <c r="C265" s="552" t="s">
        <v>1232</v>
      </c>
      <c r="D265" s="548" t="s">
        <v>1043</v>
      </c>
      <c r="E265" s="754">
        <f>300000+250000</f>
        <v>550000</v>
      </c>
      <c r="F265" s="754">
        <v>-305000</v>
      </c>
      <c r="G265" s="754">
        <f t="shared" si="16"/>
        <v>245000</v>
      </c>
      <c r="H265" s="507">
        <f>300000+250000</f>
        <v>550000</v>
      </c>
      <c r="I265" s="754">
        <v>-305000</v>
      </c>
      <c r="J265" s="507">
        <f>SUM(H265:I265)</f>
        <v>245000</v>
      </c>
    </row>
    <row r="266" spans="1:10" s="95" customFormat="1">
      <c r="A266" s="644">
        <f>H266</f>
        <v>500000</v>
      </c>
      <c r="B266" s="644" t="s">
        <v>879</v>
      </c>
      <c r="C266" s="548" t="s">
        <v>1233</v>
      </c>
      <c r="D266" s="548" t="s">
        <v>1043</v>
      </c>
      <c r="E266" s="754">
        <v>78350000</v>
      </c>
      <c r="F266" s="754"/>
      <c r="G266" s="754">
        <f t="shared" si="16"/>
        <v>78350000</v>
      </c>
      <c r="H266" s="507">
        <v>500000</v>
      </c>
      <c r="I266" s="507"/>
      <c r="J266" s="507">
        <f>SUM(H266:I266)</f>
        <v>500000</v>
      </c>
    </row>
    <row r="267" spans="1:10" s="95" customFormat="1">
      <c r="C267" s="660" t="s">
        <v>677</v>
      </c>
      <c r="D267" s="792" t="s">
        <v>1042</v>
      </c>
      <c r="E267" s="784">
        <f>SUM(E268)</f>
        <v>345312</v>
      </c>
      <c r="F267" s="784"/>
      <c r="G267" s="784">
        <f t="shared" si="16"/>
        <v>345312</v>
      </c>
      <c r="H267" s="784">
        <f>SUM(H268)</f>
        <v>60000</v>
      </c>
      <c r="I267" s="784"/>
      <c r="J267" s="784">
        <f>SUM(H267:I267)</f>
        <v>60000</v>
      </c>
    </row>
    <row r="268" spans="1:10" s="95" customFormat="1">
      <c r="B268" s="95" t="s">
        <v>882</v>
      </c>
      <c r="C268" s="552" t="s">
        <v>1234</v>
      </c>
      <c r="D268" s="548" t="s">
        <v>1043</v>
      </c>
      <c r="E268" s="747">
        <v>345312</v>
      </c>
      <c r="F268" s="747"/>
      <c r="G268" s="747">
        <f t="shared" si="16"/>
        <v>345312</v>
      </c>
      <c r="H268" s="727">
        <v>60000</v>
      </c>
      <c r="I268" s="727"/>
      <c r="J268" s="727">
        <f>SUM(H268:I268)</f>
        <v>60000</v>
      </c>
    </row>
    <row r="269" spans="1:10">
      <c r="C269" s="689" t="s">
        <v>678</v>
      </c>
      <c r="D269" s="690"/>
      <c r="E269" s="662">
        <f>SUM(E270:E272)+E276</f>
        <v>2097700</v>
      </c>
      <c r="F269" s="662"/>
      <c r="G269" s="662">
        <f t="shared" si="16"/>
        <v>2097700</v>
      </c>
      <c r="H269" s="662">
        <f>SUM(H270:H272)+H276</f>
        <v>1743994</v>
      </c>
      <c r="I269" s="662"/>
      <c r="J269" s="662">
        <f>SUM(H269:I269)</f>
        <v>1743994</v>
      </c>
    </row>
    <row r="270" spans="1:10">
      <c r="B270" s="641" t="s">
        <v>109</v>
      </c>
      <c r="C270" s="705" t="s">
        <v>1235</v>
      </c>
      <c r="D270" s="691" t="s">
        <v>1043</v>
      </c>
      <c r="E270" s="718">
        <v>586400</v>
      </c>
      <c r="F270" s="718"/>
      <c r="G270" s="718">
        <f t="shared" si="16"/>
        <v>586400</v>
      </c>
      <c r="H270" s="666">
        <v>538600</v>
      </c>
      <c r="I270" s="666"/>
      <c r="J270" s="666">
        <f>SUM(H270:I270)</f>
        <v>538600</v>
      </c>
    </row>
    <row r="271" spans="1:10">
      <c r="B271" s="641" t="s">
        <v>242</v>
      </c>
      <c r="C271" s="705" t="s">
        <v>1236</v>
      </c>
      <c r="D271" s="691" t="s">
        <v>1043</v>
      </c>
      <c r="E271" s="718">
        <v>970896</v>
      </c>
      <c r="F271" s="718"/>
      <c r="G271" s="718">
        <f t="shared" si="16"/>
        <v>970896</v>
      </c>
      <c r="H271" s="666">
        <v>937594</v>
      </c>
      <c r="I271" s="666"/>
      <c r="J271" s="666">
        <f>SUM(H271:I271)</f>
        <v>937594</v>
      </c>
    </row>
    <row r="272" spans="1:10" ht="12.75" customHeight="1">
      <c r="C272" s="715" t="s">
        <v>1237</v>
      </c>
      <c r="D272" s="548" t="s">
        <v>1043</v>
      </c>
      <c r="E272" s="718">
        <v>230000</v>
      </c>
      <c r="F272" s="718"/>
      <c r="G272" s="718">
        <f t="shared" si="16"/>
        <v>230000</v>
      </c>
      <c r="H272" s="666">
        <v>230000</v>
      </c>
      <c r="I272" s="666"/>
      <c r="J272" s="666">
        <f>SUM(H272:I272)</f>
        <v>230000</v>
      </c>
    </row>
    <row r="273" spans="2:10" ht="13.5" customHeight="1">
      <c r="B273" s="3" t="s">
        <v>768</v>
      </c>
      <c r="C273" s="793" t="s">
        <v>1238</v>
      </c>
      <c r="D273" s="681"/>
      <c r="E273" s="695">
        <v>50000</v>
      </c>
      <c r="F273" s="695"/>
      <c r="G273" s="695">
        <f t="shared" si="16"/>
        <v>50000</v>
      </c>
      <c r="H273" s="670">
        <v>50000</v>
      </c>
      <c r="I273" s="670"/>
      <c r="J273" s="670">
        <f>SUM(H273:I273)</f>
        <v>50000</v>
      </c>
    </row>
    <row r="274" spans="2:10">
      <c r="B274" s="3" t="s">
        <v>768</v>
      </c>
      <c r="C274" s="729" t="s">
        <v>1239</v>
      </c>
      <c r="D274" s="678"/>
      <c r="E274" s="670">
        <v>80000</v>
      </c>
      <c r="F274" s="670"/>
      <c r="G274" s="670">
        <f t="shared" si="16"/>
        <v>80000</v>
      </c>
      <c r="H274" s="670">
        <v>80000</v>
      </c>
      <c r="I274" s="670"/>
      <c r="J274" s="670">
        <f>SUM(H274:I274)</f>
        <v>80000</v>
      </c>
    </row>
    <row r="275" spans="2:10">
      <c r="B275" s="641" t="s">
        <v>241</v>
      </c>
      <c r="C275" s="677" t="s">
        <v>1240</v>
      </c>
      <c r="D275" s="681"/>
      <c r="E275" s="670">
        <v>100000</v>
      </c>
      <c r="F275" s="670"/>
      <c r="G275" s="670">
        <f t="shared" si="16"/>
        <v>100000</v>
      </c>
      <c r="H275" s="670">
        <v>100000</v>
      </c>
      <c r="I275" s="670"/>
      <c r="J275" s="670">
        <f>SUM(H275:I275)</f>
        <v>100000</v>
      </c>
    </row>
    <row r="276" spans="2:10">
      <c r="B276" s="641" t="s">
        <v>879</v>
      </c>
      <c r="C276" s="552" t="s">
        <v>1241</v>
      </c>
      <c r="D276" s="720" t="s">
        <v>1043</v>
      </c>
      <c r="E276" s="666">
        <v>310404</v>
      </c>
      <c r="F276" s="666"/>
      <c r="G276" s="666">
        <f t="shared" si="16"/>
        <v>310404</v>
      </c>
      <c r="H276" s="666">
        <v>37800</v>
      </c>
      <c r="I276" s="666"/>
      <c r="J276" s="666">
        <f>SUM(H276:I276)</f>
        <v>37800</v>
      </c>
    </row>
    <row r="277" spans="2:10">
      <c r="C277" s="794"/>
      <c r="D277" s="795"/>
      <c r="E277" s="796"/>
      <c r="F277" s="796"/>
      <c r="G277" s="796"/>
      <c r="H277" s="796"/>
      <c r="I277" s="796"/>
      <c r="J277" s="796"/>
    </row>
    <row r="278" spans="2:10">
      <c r="C278" s="114" t="s">
        <v>1242</v>
      </c>
      <c r="D278" s="797"/>
      <c r="E278" s="529"/>
      <c r="F278" s="529"/>
      <c r="G278" s="529"/>
      <c r="H278" s="798"/>
      <c r="I278" s="798"/>
      <c r="J278" s="798"/>
    </row>
    <row r="279" spans="2:10">
      <c r="C279" s="530" t="s">
        <v>1243</v>
      </c>
      <c r="D279" s="797"/>
      <c r="E279" s="529"/>
      <c r="F279" s="529"/>
      <c r="G279" s="529"/>
      <c r="H279" s="798"/>
      <c r="I279" s="798"/>
      <c r="J279" s="798"/>
    </row>
    <row r="280" spans="2:10">
      <c r="C280" s="530" t="s">
        <v>1244</v>
      </c>
      <c r="D280" s="797"/>
      <c r="E280" s="529"/>
      <c r="F280" s="529"/>
      <c r="G280" s="529"/>
      <c r="H280" s="798"/>
      <c r="I280" s="798"/>
      <c r="J280" s="798"/>
    </row>
    <row r="281" spans="2:10">
      <c r="C281" s="114" t="s">
        <v>1245</v>
      </c>
      <c r="D281" s="797"/>
      <c r="E281" s="529"/>
      <c r="F281" s="529"/>
      <c r="G281" s="529"/>
      <c r="H281" s="798"/>
      <c r="I281" s="798"/>
      <c r="J281" s="798"/>
    </row>
    <row r="282" spans="2:10">
      <c r="C282" s="114" t="s">
        <v>1246</v>
      </c>
      <c r="D282" s="797"/>
      <c r="E282" s="529"/>
      <c r="F282" s="529"/>
      <c r="G282" s="529"/>
      <c r="H282" s="798"/>
      <c r="I282" s="798"/>
      <c r="J282" s="798"/>
    </row>
    <row r="283" spans="2:10">
      <c r="C283" s="114" t="s">
        <v>1247</v>
      </c>
      <c r="D283" s="797"/>
      <c r="E283" s="529"/>
      <c r="F283" s="529"/>
      <c r="G283" s="529"/>
      <c r="H283" s="798"/>
      <c r="I283" s="798"/>
      <c r="J283" s="798"/>
    </row>
    <row r="284" spans="2:10">
      <c r="C284" s="114" t="s">
        <v>1248</v>
      </c>
      <c r="D284" s="797"/>
      <c r="E284" s="529"/>
      <c r="F284" s="529"/>
      <c r="G284" s="529"/>
      <c r="H284" s="798"/>
      <c r="I284" s="798"/>
      <c r="J284" s="798"/>
    </row>
    <row r="285" spans="2:10">
      <c r="C285" s="114"/>
      <c r="D285" s="797"/>
      <c r="E285" s="529"/>
      <c r="F285" s="529"/>
      <c r="G285" s="529"/>
      <c r="H285" s="798"/>
      <c r="I285" s="798"/>
      <c r="J285" s="798"/>
    </row>
    <row r="286" spans="2:10">
      <c r="C286" s="114"/>
      <c r="D286" s="797"/>
      <c r="E286" s="529"/>
      <c r="F286" s="529"/>
      <c r="G286" s="529"/>
      <c r="H286" s="798"/>
      <c r="I286" s="798"/>
      <c r="J286" s="798"/>
    </row>
    <row r="287" spans="2:10">
      <c r="C287" s="490" t="s">
        <v>1249</v>
      </c>
    </row>
    <row r="288" spans="2:10">
      <c r="C288" s="490"/>
    </row>
    <row r="289" spans="3:10">
      <c r="C289" s="3" t="s">
        <v>844</v>
      </c>
    </row>
    <row r="290" spans="3:10">
      <c r="C290" s="3" t="s">
        <v>845</v>
      </c>
      <c r="E290" s="644">
        <f>E269</f>
        <v>2097700</v>
      </c>
      <c r="F290" s="644">
        <f t="shared" ref="F290:G290" si="18">F269</f>
        <v>0</v>
      </c>
      <c r="G290" s="644">
        <f t="shared" si="18"/>
        <v>2097700</v>
      </c>
      <c r="H290" s="644">
        <f>H269</f>
        <v>1743994</v>
      </c>
      <c r="I290" s="644">
        <f t="shared" ref="I290:J290" si="19">I269</f>
        <v>0</v>
      </c>
      <c r="J290" s="644">
        <f t="shared" si="19"/>
        <v>1743994</v>
      </c>
    </row>
    <row r="291" spans="3:10">
      <c r="C291" s="3" t="s">
        <v>846</v>
      </c>
      <c r="E291" s="644">
        <f>E12</f>
        <v>90044554</v>
      </c>
      <c r="F291" s="644">
        <f>F12</f>
        <v>1656360</v>
      </c>
      <c r="G291" s="644">
        <f>G12</f>
        <v>91700914</v>
      </c>
      <c r="H291" s="644">
        <f>H12</f>
        <v>29115786</v>
      </c>
      <c r="I291" s="644">
        <f>I12</f>
        <v>-500000</v>
      </c>
      <c r="J291" s="644">
        <f>J12</f>
        <v>28615786</v>
      </c>
    </row>
    <row r="292" spans="3:10">
      <c r="C292" s="3" t="s">
        <v>847</v>
      </c>
      <c r="E292" s="644">
        <f>E50</f>
        <v>39462560</v>
      </c>
      <c r="F292" s="644">
        <f>F50</f>
        <v>17411541</v>
      </c>
      <c r="G292" s="644">
        <f>G50</f>
        <v>56874101</v>
      </c>
      <c r="H292" s="644">
        <f>H50</f>
        <v>8636234</v>
      </c>
      <c r="I292" s="644">
        <f>I50</f>
        <v>1001541</v>
      </c>
      <c r="J292" s="644">
        <f>J50</f>
        <v>9637775</v>
      </c>
    </row>
    <row r="293" spans="3:10">
      <c r="C293" s="3" t="s">
        <v>848</v>
      </c>
      <c r="E293" s="644">
        <f>E98</f>
        <v>11041000</v>
      </c>
      <c r="F293" s="644">
        <f>F98</f>
        <v>-3395779</v>
      </c>
      <c r="G293" s="644">
        <f>G98</f>
        <v>7645221</v>
      </c>
      <c r="H293" s="644">
        <f>H98</f>
        <v>3091000</v>
      </c>
      <c r="I293" s="644">
        <f>I98</f>
        <v>-760990</v>
      </c>
      <c r="J293" s="644">
        <f>J98</f>
        <v>2330010</v>
      </c>
    </row>
    <row r="294" spans="3:10">
      <c r="C294" s="3" t="s">
        <v>849</v>
      </c>
    </row>
    <row r="295" spans="3:10">
      <c r="C295" s="3" t="s">
        <v>283</v>
      </c>
      <c r="E295" s="644">
        <f>E104</f>
        <v>5141481</v>
      </c>
      <c r="F295" s="644">
        <f>F104</f>
        <v>8552480</v>
      </c>
      <c r="G295" s="644">
        <f>G104</f>
        <v>13693961</v>
      </c>
      <c r="H295" s="644">
        <f>H104</f>
        <v>3609481</v>
      </c>
      <c r="I295" s="644">
        <f>I104</f>
        <v>153600</v>
      </c>
      <c r="J295" s="644">
        <f>J104</f>
        <v>3763081</v>
      </c>
    </row>
    <row r="296" spans="3:10">
      <c r="C296" s="3" t="s">
        <v>303</v>
      </c>
      <c r="E296" s="644">
        <f>E118</f>
        <v>496020</v>
      </c>
      <c r="F296" s="644">
        <f>F118</f>
        <v>-269820</v>
      </c>
      <c r="G296" s="644">
        <f>G118</f>
        <v>226200</v>
      </c>
      <c r="H296" s="644">
        <f>H118</f>
        <v>430220</v>
      </c>
      <c r="I296" s="644">
        <f>I118</f>
        <v>-269820</v>
      </c>
      <c r="J296" s="644">
        <f>J118</f>
        <v>160400</v>
      </c>
    </row>
    <row r="297" spans="3:10">
      <c r="C297" s="3" t="s">
        <v>850</v>
      </c>
      <c r="E297" s="644">
        <f>E257</f>
        <v>98496367</v>
      </c>
      <c r="F297" s="644">
        <f>F257</f>
        <v>-305000</v>
      </c>
      <c r="G297" s="644">
        <f>G257</f>
        <v>98191367</v>
      </c>
      <c r="H297" s="644">
        <f>H257</f>
        <v>5103000</v>
      </c>
      <c r="I297" s="644">
        <f>I257</f>
        <v>-305000</v>
      </c>
      <c r="J297" s="644">
        <f>J257</f>
        <v>4798000</v>
      </c>
    </row>
    <row r="298" spans="3:10">
      <c r="C298" s="3" t="s">
        <v>851</v>
      </c>
    </row>
    <row r="299" spans="3:10">
      <c r="C299" s="3" t="s">
        <v>852</v>
      </c>
    </row>
    <row r="300" spans="3:10">
      <c r="C300" s="3" t="s">
        <v>853</v>
      </c>
      <c r="E300" s="644">
        <f>E193</f>
        <v>16054000</v>
      </c>
      <c r="F300" s="644">
        <f>F193</f>
        <v>37000</v>
      </c>
      <c r="G300" s="644">
        <f>G193</f>
        <v>16091000</v>
      </c>
      <c r="H300" s="644">
        <f>H193</f>
        <v>3743200</v>
      </c>
      <c r="I300" s="644">
        <f>I193</f>
        <v>8137000</v>
      </c>
      <c r="J300" s="644">
        <f>J193</f>
        <v>11880200</v>
      </c>
    </row>
    <row r="301" spans="3:10">
      <c r="C301" s="3" t="s">
        <v>854</v>
      </c>
      <c r="E301" s="644">
        <f>E122</f>
        <v>105298806</v>
      </c>
      <c r="F301" s="644">
        <f>F122</f>
        <v>10831203</v>
      </c>
      <c r="G301" s="644">
        <f>G122</f>
        <v>116130009</v>
      </c>
      <c r="H301" s="644">
        <f>H122</f>
        <v>53389608</v>
      </c>
      <c r="I301" s="644">
        <f>I122</f>
        <v>-1856623</v>
      </c>
      <c r="J301" s="644">
        <f>J122</f>
        <v>51532985</v>
      </c>
    </row>
    <row r="302" spans="3:10">
      <c r="C302" s="3" t="s">
        <v>664</v>
      </c>
      <c r="E302" s="644">
        <f>E208</f>
        <v>14855927</v>
      </c>
      <c r="F302" s="644">
        <f>F208</f>
        <v>269677</v>
      </c>
      <c r="G302" s="644">
        <f>G208</f>
        <v>15125604</v>
      </c>
      <c r="H302" s="644">
        <f>H208</f>
        <v>5714545</v>
      </c>
      <c r="I302" s="644">
        <f>I208</f>
        <v>59677</v>
      </c>
      <c r="J302" s="644">
        <f>J208</f>
        <v>5774222</v>
      </c>
    </row>
    <row r="303" spans="3:10">
      <c r="C303" s="3" t="s">
        <v>788</v>
      </c>
      <c r="E303" s="644">
        <f>E201</f>
        <v>500000</v>
      </c>
      <c r="F303" s="644">
        <f>F201</f>
        <v>260000</v>
      </c>
      <c r="G303" s="644">
        <f>G201</f>
        <v>760000</v>
      </c>
      <c r="H303" s="644">
        <f>H201</f>
        <v>250000</v>
      </c>
      <c r="I303" s="644">
        <f>I201</f>
        <v>260000</v>
      </c>
      <c r="J303" s="644">
        <f>J201</f>
        <v>510000</v>
      </c>
    </row>
    <row r="304" spans="3:10">
      <c r="C304" s="3" t="s">
        <v>855</v>
      </c>
    </row>
    <row r="305" spans="3:10">
      <c r="C305" s="3" t="s">
        <v>856</v>
      </c>
      <c r="E305" s="644">
        <f>E250</f>
        <v>126950</v>
      </c>
      <c r="F305" s="644">
        <f>F250</f>
        <v>170000</v>
      </c>
      <c r="G305" s="644">
        <f>G250</f>
        <v>296950</v>
      </c>
      <c r="H305" s="644">
        <f>H250</f>
        <v>21000</v>
      </c>
      <c r="I305" s="644">
        <f>I250</f>
        <v>25000</v>
      </c>
      <c r="J305" s="644">
        <f>J250</f>
        <v>46000</v>
      </c>
    </row>
    <row r="306" spans="3:10">
      <c r="C306" s="3" t="s">
        <v>857</v>
      </c>
      <c r="E306" s="644">
        <f>E267</f>
        <v>345312</v>
      </c>
      <c r="F306" s="644">
        <f t="shared" ref="F306:G306" si="20">F267</f>
        <v>0</v>
      </c>
      <c r="G306" s="644">
        <f t="shared" si="20"/>
        <v>345312</v>
      </c>
      <c r="H306" s="644">
        <f>H267</f>
        <v>60000</v>
      </c>
      <c r="I306" s="644">
        <f t="shared" ref="I306:J306" si="21">I267</f>
        <v>0</v>
      </c>
      <c r="J306" s="644">
        <f t="shared" si="21"/>
        <v>60000</v>
      </c>
    </row>
    <row r="307" spans="3:10">
      <c r="C307" s="3" t="s">
        <v>858</v>
      </c>
    </row>
    <row r="308" spans="3:10">
      <c r="C308" s="3" t="s">
        <v>859</v>
      </c>
    </row>
    <row r="309" spans="3:10">
      <c r="C309" s="488" t="s">
        <v>860</v>
      </c>
      <c r="E309" s="799">
        <f>SUM(E289:E308)</f>
        <v>383960677</v>
      </c>
      <c r="F309" s="799">
        <f t="shared" ref="F309:G309" si="22">SUM(F289:F308)</f>
        <v>35217662</v>
      </c>
      <c r="G309" s="799">
        <f t="shared" si="22"/>
        <v>419178339</v>
      </c>
      <c r="H309" s="799">
        <f>SUM(H289:H308)</f>
        <v>114908068</v>
      </c>
      <c r="I309" s="799">
        <f t="shared" ref="I309" si="23">SUM(I289:I308)</f>
        <v>5944385</v>
      </c>
      <c r="J309" s="799">
        <f t="shared" ref="J309" si="24">SUM(J289:J308)</f>
        <v>120852453</v>
      </c>
    </row>
    <row r="310" spans="3:10">
      <c r="E310" s="644">
        <f>E309-E6</f>
        <v>0</v>
      </c>
      <c r="F310" s="644"/>
      <c r="G310" s="644"/>
      <c r="H310" s="644">
        <f>H309-H6</f>
        <v>0</v>
      </c>
    </row>
  </sheetData>
  <autoFilter ref="C5:J276"/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>
    <oddFooter>&amp;C&amp;P/&amp;N&amp;R&amp;D&amp;T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Õigusaktid</vt:lpstr>
      <vt:lpstr>1 KOONDEELARVE</vt:lpstr>
      <vt:lpstr>2 TULUDE KOOND</vt:lpstr>
      <vt:lpstr>2.1 LK TULUD</vt:lpstr>
      <vt:lpstr>Sheet2</vt:lpstr>
      <vt:lpstr>2.2 OMATULUD</vt:lpstr>
      <vt:lpstr>2.3 TOETUSED</vt:lpstr>
      <vt:lpstr>3 KULUD</vt:lpstr>
      <vt:lpstr>4 INVEST</vt:lpstr>
      <vt:lpstr>5 FIN.TEH</vt:lpstr>
      <vt:lpstr>6 RAHAKÄIVE</vt:lpstr>
      <vt:lpstr>7 LIIGENDUS</vt:lpstr>
      <vt:lpstr>Valdkonnad</vt:lpstr>
      <vt:lpstr>'2 TULUDE KOOND'!Print_Titles</vt:lpstr>
      <vt:lpstr>'2.1 LK TULUD'!Print_Titles</vt:lpstr>
      <vt:lpstr>'2.2 OMATULUD'!Print_Titles</vt:lpstr>
      <vt:lpstr>'2.3 TOETUSED'!Print_Titles</vt:lpstr>
      <vt:lpstr>'3 KULUD'!Print_Titles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2018-11-15T08:56:16Z</cp:lastPrinted>
  <dcterms:created xsi:type="dcterms:W3CDTF">2011-11-17T06:19:29Z</dcterms:created>
  <dcterms:modified xsi:type="dcterms:W3CDTF">2018-11-15T13:29:41Z</dcterms:modified>
</cp:coreProperties>
</file>